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2.xml" ContentType="application/vnd.openxmlformats-officedocument.spreadsheetml.comments+xml"/>
  <Override PartName="/xl/drawings/drawing8.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bart.domain\vdi\PUUsers\slee7\My Documents\"/>
    </mc:Choice>
  </mc:AlternateContent>
  <xr:revisionPtr revIDLastSave="0" documentId="8_{BAE7F3E5-23C9-47BC-9299-769970E6AA91}" xr6:coauthVersionLast="36" xr6:coauthVersionMax="36" xr10:uidLastSave="{00000000-0000-0000-0000-000000000000}"/>
  <bookViews>
    <workbookView xWindow="360" yWindow="60" windowWidth="9150" windowHeight="6285" tabRatio="856" xr2:uid="{00000000-000D-0000-FFFF-FFFF00000000}"/>
  </bookViews>
  <sheets>
    <sheet name="Instructions" sheetId="7" r:id="rId1"/>
    <sheet name="Assumptions and Constraints" sheetId="19" r:id="rId2"/>
    <sheet name="Bicycle Parking Facility Costs" sheetId="15" r:id="rId3"/>
    <sheet name="Bicycle Parking Invest. Input" sheetId="5" r:id="rId4"/>
    <sheet name="Bicycle Parking Invest. Summary" sheetId="3" r:id="rId5"/>
    <sheet name="Support Strategies" sheetId="18" r:id="rId6"/>
    <sheet name="Overall Summary" sheetId="14" r:id="rId7"/>
    <sheet name="Calculations" sheetId="13" state="hidden" r:id="rId8"/>
    <sheet name="Database" sheetId="6" state="hidden" r:id="rId9"/>
    <sheet name="Macro_Buttons" sheetId="16" state="hidden" r:id="rId10"/>
  </sheets>
  <definedNames>
    <definedName name="_Fill" localSheetId="5" hidden="1">#REF!</definedName>
    <definedName name="_Fill" hidden="1">#REF!</definedName>
    <definedName name="_Key1" localSheetId="5" hidden="1">#REF!</definedName>
    <definedName name="_Key1" hidden="1">#REF!</definedName>
    <definedName name="_Order1" hidden="1">0</definedName>
    <definedName name="_Sort" localSheetId="5" hidden="1">#REF!</definedName>
    <definedName name="_Sort" hidden="1">#REF!</definedName>
    <definedName name="AttendedUnits">'Overall Summary'!$C$21</definedName>
    <definedName name="BART_Database_Pivot">Database!$B$2</definedName>
    <definedName name="BART_List_Post2011">'Bicycle Parking Invest. Input'!$O$7:$O$49</definedName>
    <definedName name="BART_List_Pre2011">'Bicycle Parking Invest. Input'!$N$7:$N$54</definedName>
    <definedName name="BARTModeCheckPivot">'Bicycle Parking Invest. Input'!$L$23</definedName>
    <definedName name="BARTModeLoadPivot">'Bicycle Parking Invest. Input'!$C$23</definedName>
    <definedName name="BARTRiderCheckPivot">'Bicycle Parking Invest. Input'!$L$24</definedName>
    <definedName name="BARTRiderLoadPivot">'Bicycle Parking Invest. Input'!$C$24</definedName>
    <definedName name="CageUnits">'Overall Summary'!$C$22</definedName>
    <definedName name="DatabaseStationList">Database!$A$2:$A$44</definedName>
    <definedName name="DatabaseTypologyList">Database!$A$46:$A$50</definedName>
    <definedName name="DefaultCheckPivot">'Bicycle Parking Invest. Input'!$L$33</definedName>
    <definedName name="ELockersUnits">'Overall Summary'!$C$19</definedName>
    <definedName name="ExcessCapacity">'Bicycle Parking Invest. Input'!$M$74</definedName>
    <definedName name="FTCheckDefault">'Bicycle Parking Invest. Input'!$K$66:$K$71</definedName>
    <definedName name="FTLoadDefault">'Bicycle Parking Invest. Input'!$B$66</definedName>
    <definedName name="InvestmentsSort">'Bicycle Parking Invest. Input'!$B$66:$D$71</definedName>
    <definedName name="KeyedLockersUnits">'Overall Summary'!$C$18</definedName>
    <definedName name="LastLoadTitle">'Bicycle Parking Invest. Input'!$D$22</definedName>
    <definedName name="LastLoadYear">'Bicycle Parking Invest. Input'!$C$22</definedName>
    <definedName name="LoadDefaultPivot">'Bicycle Parking Invest. Input'!$D$33</definedName>
    <definedName name="NonBART_Station_Pivot">Database!$B$46</definedName>
    <definedName name="NonBARTModeCheckPivot">'Bicycle Parking Invest. Input'!$L$25</definedName>
    <definedName name="NonBARTModeLoadPivot">'Bicycle Parking Invest. Input'!$C$25</definedName>
    <definedName name="NonBARTRiderCheckPivot">'Bicycle Parking Invest. Input'!$L$26</definedName>
    <definedName name="NonBARTRiderLoadPivot">'Bicycle Parking Invest. Input'!$C$26</definedName>
    <definedName name="OccupancyCheckDefault">'Bicycle Parking Invest. Input'!$M$66:$M$71</definedName>
    <definedName name="OccupancyLoadDefault">'Bicycle Parking Invest. Input'!$D$66</definedName>
    <definedName name="OccupancyYearCheckDefault">'Bicycle Parking Invest. Input'!$L$63</definedName>
    <definedName name="OccupancyYearLoadDefault">'Bicycle Parking Invest. Input'!$D$63</definedName>
    <definedName name="PopOccupancyCheckDefault">'Bicycle Parking Invest. Input'!$L$64</definedName>
    <definedName name="PopOccupancyLoadDefault">'Bicycle Parking Invest. Input'!$D$64</definedName>
    <definedName name="_xlnm.Print_Area" localSheetId="4">'Bicycle Parking Invest. Summary'!$A$1:$S$144</definedName>
    <definedName name="_xlnm.Print_Area" localSheetId="6">'Overall Summary'!$A$1:$M$59</definedName>
    <definedName name="_xlnm.Print_Titles" localSheetId="4">'Bicycle Parking Invest. Summary'!$2:$15</definedName>
    <definedName name="_xlnm.Print_Titles" localSheetId="6">'Overall Summary'!$1:$10</definedName>
    <definedName name="RacksInsideUnits">'Overall Summary'!$C$17</definedName>
    <definedName name="RacksOutsideUnits">'Overall Summary'!$C$16</definedName>
    <definedName name="ScenarioBlackout">'Bicycle Parking Invest. Input'!$D$91</definedName>
    <definedName name="ScenarioYearInput">'Bicycle Parking Invest. Input'!$C$8</definedName>
    <definedName name="SelfServeUnits">'Overall Summary'!$C$20</definedName>
    <definedName name="StationType">'Bicycle Parking Invest. Input'!$C$121</definedName>
    <definedName name="SurveyCheckDefault">'Bicycle Parking Invest. Input'!$L$66</definedName>
    <definedName name="SurveyInvestmentsRank">'Bicycle Parking Invest. Input'!$C$66:$C$71</definedName>
    <definedName name="SurveyLoadDefault">'Bicycle Parking Invest. Input'!$C$66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66" i="5" l="1"/>
  <c r="AK69" i="3"/>
  <c r="AY43" i="6"/>
  <c r="AZ43" i="6"/>
  <c r="BA43" i="6"/>
  <c r="BB43" i="6"/>
  <c r="BC43" i="6"/>
  <c r="BD43" i="6"/>
  <c r="AK49" i="3"/>
  <c r="AK48" i="3"/>
  <c r="AK50" i="3"/>
  <c r="AK51" i="3"/>
  <c r="AK52" i="3"/>
  <c r="AK53" i="3"/>
  <c r="F58" i="18"/>
  <c r="G58" i="18" s="1"/>
  <c r="H58" i="18" s="1"/>
  <c r="I63" i="18" s="1"/>
  <c r="L58" i="18"/>
  <c r="M58" i="18" s="1"/>
  <c r="F25" i="7"/>
  <c r="H16" i="7"/>
  <c r="A40" i="7"/>
  <c r="B11" i="3"/>
  <c r="B8" i="14" s="1"/>
  <c r="E71" i="5"/>
  <c r="E70" i="5"/>
  <c r="O70" i="5" s="1"/>
  <c r="P70" i="5" s="1"/>
  <c r="E69" i="5"/>
  <c r="N69" i="5" s="1"/>
  <c r="E68" i="5"/>
  <c r="N68" i="5" s="1"/>
  <c r="E67" i="5"/>
  <c r="E66" i="5"/>
  <c r="M60" i="5" s="1"/>
  <c r="BU50" i="6"/>
  <c r="BU49" i="6"/>
  <c r="BU48" i="6"/>
  <c r="BU47" i="6"/>
  <c r="BU46" i="6"/>
  <c r="BU44" i="6"/>
  <c r="BU43" i="6"/>
  <c r="BU42" i="6"/>
  <c r="BU41" i="6"/>
  <c r="BU40" i="6"/>
  <c r="BU39" i="6"/>
  <c r="BU38" i="6"/>
  <c r="BU37" i="6"/>
  <c r="BU36" i="6"/>
  <c r="BU35" i="6"/>
  <c r="BU34" i="6"/>
  <c r="BU33" i="6"/>
  <c r="BU32" i="6"/>
  <c r="BU31" i="6"/>
  <c r="BU30" i="6"/>
  <c r="BU29" i="6"/>
  <c r="BU28" i="6"/>
  <c r="BU27" i="6"/>
  <c r="BU26" i="6"/>
  <c r="BU25" i="6"/>
  <c r="BU24" i="6"/>
  <c r="BU23" i="6"/>
  <c r="BU22" i="6"/>
  <c r="BU21" i="6"/>
  <c r="BU20" i="6"/>
  <c r="BU19" i="6"/>
  <c r="BU18" i="6"/>
  <c r="BU17" i="6"/>
  <c r="BU16" i="6"/>
  <c r="BU15" i="6"/>
  <c r="BU14" i="6"/>
  <c r="BU13" i="6"/>
  <c r="BU12" i="6"/>
  <c r="BU11" i="6"/>
  <c r="BU10" i="6"/>
  <c r="BU9" i="6"/>
  <c r="BU8" i="6"/>
  <c r="BU7" i="6"/>
  <c r="BU6" i="6"/>
  <c r="BU5" i="6"/>
  <c r="BU4" i="6"/>
  <c r="BU3" i="6"/>
  <c r="BU2" i="6"/>
  <c r="D65" i="5"/>
  <c r="BN43" i="6"/>
  <c r="BM43" i="6"/>
  <c r="K64" i="5"/>
  <c r="C64" i="5"/>
  <c r="E65" i="5"/>
  <c r="F9" i="3"/>
  <c r="S5" i="13"/>
  <c r="T7" i="13"/>
  <c r="T9" i="13"/>
  <c r="T5" i="13"/>
  <c r="S6" i="13"/>
  <c r="S7" i="13"/>
  <c r="S8" i="13"/>
  <c r="S9" i="13"/>
  <c r="S10" i="13"/>
  <c r="S11" i="13"/>
  <c r="BR43" i="6"/>
  <c r="BQ43" i="6"/>
  <c r="BP43" i="6"/>
  <c r="BO43" i="6"/>
  <c r="D109" i="19"/>
  <c r="J107" i="19"/>
  <c r="J106" i="19"/>
  <c r="J105" i="19"/>
  <c r="J109" i="19" s="1"/>
  <c r="P22" i="19"/>
  <c r="P21" i="19"/>
  <c r="P20" i="19"/>
  <c r="P18" i="19"/>
  <c r="P19" i="19"/>
  <c r="H17" i="14"/>
  <c r="H16" i="14"/>
  <c r="L82" i="18"/>
  <c r="M82" i="18" s="1"/>
  <c r="L81" i="18"/>
  <c r="M81" i="18" s="1"/>
  <c r="L80" i="18"/>
  <c r="M80" i="18" s="1"/>
  <c r="N80" i="18" s="1"/>
  <c r="L79" i="18"/>
  <c r="M79" i="18" s="1"/>
  <c r="N79" i="18" s="1"/>
  <c r="L78" i="18"/>
  <c r="M78" i="18" s="1"/>
  <c r="L77" i="18"/>
  <c r="M77" i="18" s="1"/>
  <c r="L76" i="18"/>
  <c r="M76" i="18" s="1"/>
  <c r="L75" i="18"/>
  <c r="M75" i="18" s="1"/>
  <c r="F82" i="18"/>
  <c r="G82" i="18" s="1"/>
  <c r="H82" i="18" s="1"/>
  <c r="F81" i="18"/>
  <c r="G81" i="18" s="1"/>
  <c r="H81" i="18" s="1"/>
  <c r="F80" i="18"/>
  <c r="G80" i="18" s="1"/>
  <c r="H80" i="18" s="1"/>
  <c r="F79" i="18"/>
  <c r="G79" i="18" s="1"/>
  <c r="H79" i="18" s="1"/>
  <c r="F78" i="18"/>
  <c r="G78" i="18" s="1"/>
  <c r="H78" i="18" s="1"/>
  <c r="F77" i="18"/>
  <c r="G77" i="18" s="1"/>
  <c r="H77" i="18" s="1"/>
  <c r="F76" i="18"/>
  <c r="G76" i="18" s="1"/>
  <c r="H76" i="18" s="1"/>
  <c r="F75" i="18"/>
  <c r="G75" i="18" s="1"/>
  <c r="H75" i="18" s="1"/>
  <c r="L63" i="18"/>
  <c r="M63" i="18" s="1"/>
  <c r="N63" i="18" s="1"/>
  <c r="L62" i="18"/>
  <c r="M62" i="18" s="1"/>
  <c r="L61" i="18"/>
  <c r="M61" i="18" s="1"/>
  <c r="N61" i="18" s="1"/>
  <c r="L60" i="18"/>
  <c r="M60" i="18" s="1"/>
  <c r="N60" i="18" s="1"/>
  <c r="L59" i="18"/>
  <c r="M59" i="18" s="1"/>
  <c r="F63" i="18"/>
  <c r="G63" i="18" s="1"/>
  <c r="H63" i="18" s="1"/>
  <c r="F62" i="18"/>
  <c r="G62" i="18" s="1"/>
  <c r="H62" i="18" s="1"/>
  <c r="F61" i="18"/>
  <c r="G61" i="18" s="1"/>
  <c r="H61" i="18" s="1"/>
  <c r="F60" i="18"/>
  <c r="G60" i="18" s="1"/>
  <c r="H60" i="18" s="1"/>
  <c r="F59" i="18"/>
  <c r="G59" i="18" s="1"/>
  <c r="H59" i="18" s="1"/>
  <c r="AR43" i="6"/>
  <c r="AS43" i="6"/>
  <c r="AT43" i="6"/>
  <c r="AU43" i="6"/>
  <c r="AV43" i="6"/>
  <c r="AW43" i="6"/>
  <c r="Q43" i="6"/>
  <c r="R43" i="6"/>
  <c r="S43" i="6"/>
  <c r="T43" i="6"/>
  <c r="U43" i="6"/>
  <c r="V43" i="6"/>
  <c r="AN50" i="6"/>
  <c r="AN49" i="6"/>
  <c r="AN48" i="6"/>
  <c r="AN47" i="6"/>
  <c r="AN46" i="6"/>
  <c r="AN44" i="6"/>
  <c r="AN43" i="6"/>
  <c r="AN42" i="6"/>
  <c r="AN41" i="6"/>
  <c r="AN40" i="6"/>
  <c r="AN39" i="6"/>
  <c r="AN38" i="6"/>
  <c r="AN37" i="6"/>
  <c r="AN36" i="6"/>
  <c r="AN35" i="6"/>
  <c r="AN34" i="6"/>
  <c r="AN33" i="6"/>
  <c r="AN32" i="6"/>
  <c r="AN31" i="6"/>
  <c r="AN30" i="6"/>
  <c r="AN29" i="6"/>
  <c r="AN28" i="6"/>
  <c r="AN27" i="6"/>
  <c r="AN26" i="6"/>
  <c r="AN25" i="6"/>
  <c r="AN24" i="6"/>
  <c r="AN23" i="6"/>
  <c r="AN22" i="6"/>
  <c r="AN21" i="6"/>
  <c r="AN20" i="6"/>
  <c r="AN19" i="6"/>
  <c r="AN18" i="6"/>
  <c r="AN17" i="6"/>
  <c r="AN16" i="6"/>
  <c r="AN15" i="6"/>
  <c r="AN14" i="6"/>
  <c r="AN13" i="6"/>
  <c r="AN12" i="6"/>
  <c r="AN11" i="6"/>
  <c r="AN10" i="6"/>
  <c r="AN9" i="6"/>
  <c r="AN8" i="6"/>
  <c r="AN7" i="6"/>
  <c r="AN6" i="6"/>
  <c r="AN5" i="6"/>
  <c r="AN4" i="6"/>
  <c r="AN3" i="6"/>
  <c r="AN2" i="6"/>
  <c r="AP44" i="6"/>
  <c r="AM44" i="6" s="1"/>
  <c r="AP43" i="6"/>
  <c r="AM43" i="6" s="1"/>
  <c r="AP42" i="6"/>
  <c r="AM42" i="6" s="1"/>
  <c r="AP41" i="6"/>
  <c r="AM41" i="6" s="1"/>
  <c r="AP40" i="6"/>
  <c r="AM40" i="6" s="1"/>
  <c r="AP39" i="6"/>
  <c r="AM39" i="6" s="1"/>
  <c r="AP38" i="6"/>
  <c r="AM38" i="6" s="1"/>
  <c r="AP37" i="6"/>
  <c r="AM37" i="6" s="1"/>
  <c r="AP36" i="6"/>
  <c r="AM36" i="6" s="1"/>
  <c r="AP35" i="6"/>
  <c r="AM35" i="6" s="1"/>
  <c r="AP34" i="6"/>
  <c r="AM34" i="6" s="1"/>
  <c r="AP33" i="6"/>
  <c r="AM33" i="6" s="1"/>
  <c r="AP32" i="6"/>
  <c r="AM32" i="6" s="1"/>
  <c r="AP31" i="6"/>
  <c r="AM31" i="6" s="1"/>
  <c r="AP30" i="6"/>
  <c r="AM30" i="6" s="1"/>
  <c r="AP29" i="6"/>
  <c r="AM29" i="6" s="1"/>
  <c r="AP28" i="6"/>
  <c r="AM28" i="6" s="1"/>
  <c r="AP27" i="6"/>
  <c r="AM27" i="6" s="1"/>
  <c r="AP26" i="6"/>
  <c r="AM26" i="6" s="1"/>
  <c r="AP25" i="6"/>
  <c r="AM25" i="6" s="1"/>
  <c r="AP24" i="6"/>
  <c r="AM24" i="6" s="1"/>
  <c r="AP23" i="6"/>
  <c r="AM23" i="6" s="1"/>
  <c r="AP22" i="6"/>
  <c r="AM22" i="6" s="1"/>
  <c r="AP21" i="6"/>
  <c r="AM21" i="6" s="1"/>
  <c r="AP20" i="6"/>
  <c r="AM20" i="6" s="1"/>
  <c r="AP19" i="6"/>
  <c r="AM19" i="6" s="1"/>
  <c r="AP18" i="6"/>
  <c r="AM18" i="6" s="1"/>
  <c r="AP17" i="6"/>
  <c r="AM17" i="6" s="1"/>
  <c r="AP16" i="6"/>
  <c r="AM16" i="6" s="1"/>
  <c r="AP15" i="6"/>
  <c r="AM15" i="6" s="1"/>
  <c r="AP14" i="6"/>
  <c r="AM14" i="6" s="1"/>
  <c r="AP13" i="6"/>
  <c r="AM13" i="6" s="1"/>
  <c r="AP12" i="6"/>
  <c r="AM12" i="6" s="1"/>
  <c r="AP11" i="6"/>
  <c r="AM11" i="6" s="1"/>
  <c r="AP10" i="6"/>
  <c r="AM10" i="6" s="1"/>
  <c r="AP9" i="6"/>
  <c r="AM9" i="6" s="1"/>
  <c r="AP8" i="6"/>
  <c r="AM8" i="6" s="1"/>
  <c r="AP7" i="6"/>
  <c r="AM7" i="6" s="1"/>
  <c r="AP6" i="6"/>
  <c r="AM6" i="6" s="1"/>
  <c r="AP5" i="6"/>
  <c r="AM5" i="6" s="1"/>
  <c r="AP4" i="6"/>
  <c r="AM4" i="6" s="1"/>
  <c r="AP3" i="6"/>
  <c r="AM3" i="6" s="1"/>
  <c r="AP2" i="6"/>
  <c r="AM2" i="6" s="1"/>
  <c r="F26" i="7"/>
  <c r="I59" i="14"/>
  <c r="I58" i="14"/>
  <c r="E59" i="14"/>
  <c r="E58" i="14"/>
  <c r="E57" i="14"/>
  <c r="E56" i="14"/>
  <c r="G55" i="14"/>
  <c r="E55" i="14"/>
  <c r="G54" i="14"/>
  <c r="G53" i="14"/>
  <c r="G52" i="14"/>
  <c r="I47" i="14"/>
  <c r="I46" i="14"/>
  <c r="E47" i="14"/>
  <c r="E46" i="14"/>
  <c r="E45" i="14"/>
  <c r="E44" i="14"/>
  <c r="E43" i="14"/>
  <c r="M32" i="18"/>
  <c r="N32" i="18" s="1"/>
  <c r="M31" i="18"/>
  <c r="N31" i="18" s="1"/>
  <c r="G32" i="18"/>
  <c r="H32" i="18" s="1"/>
  <c r="G31" i="18"/>
  <c r="H31" i="18" s="1"/>
  <c r="F26" i="18"/>
  <c r="G26" i="18" s="1"/>
  <c r="M19" i="18"/>
  <c r="N19" i="18" s="1"/>
  <c r="M18" i="18"/>
  <c r="N18" i="18" s="1"/>
  <c r="M16" i="18"/>
  <c r="N16" i="18" s="1"/>
  <c r="M15" i="18"/>
  <c r="N15" i="18" s="1"/>
  <c r="L11" i="18"/>
  <c r="M11" i="18" s="1"/>
  <c r="N11" i="18" s="1"/>
  <c r="L12" i="18"/>
  <c r="M12" i="18" s="1"/>
  <c r="N12" i="18" s="1"/>
  <c r="L13" i="18"/>
  <c r="M13" i="18" s="1"/>
  <c r="L14" i="18"/>
  <c r="M14" i="18" s="1"/>
  <c r="N14" i="18" s="1"/>
  <c r="L17" i="18"/>
  <c r="M17" i="18" s="1"/>
  <c r="N17" i="18" s="1"/>
  <c r="L20" i="18"/>
  <c r="M20" i="18" s="1"/>
  <c r="N20" i="18" s="1"/>
  <c r="L74" i="18"/>
  <c r="M74" i="18" s="1"/>
  <c r="F74" i="18"/>
  <c r="G74" i="18" s="1"/>
  <c r="L44" i="18"/>
  <c r="M44" i="18" s="1"/>
  <c r="N44" i="18" s="1"/>
  <c r="F44" i="18"/>
  <c r="G44" i="18" s="1"/>
  <c r="L43" i="18"/>
  <c r="M43" i="18" s="1"/>
  <c r="N43" i="18" s="1"/>
  <c r="F43" i="18"/>
  <c r="G43" i="18" s="1"/>
  <c r="L42" i="18"/>
  <c r="M42" i="18" s="1"/>
  <c r="N42" i="18" s="1"/>
  <c r="O44" i="18" s="1"/>
  <c r="F42" i="18"/>
  <c r="G42" i="18" s="1"/>
  <c r="L33" i="18"/>
  <c r="M33" i="18" s="1"/>
  <c r="N33" i="18" s="1"/>
  <c r="F33" i="18"/>
  <c r="G33" i="18" s="1"/>
  <c r="L30" i="18"/>
  <c r="M30" i="18" s="1"/>
  <c r="N30" i="18" s="1"/>
  <c r="F30" i="18"/>
  <c r="G30" i="18" s="1"/>
  <c r="L29" i="18"/>
  <c r="M29" i="18" s="1"/>
  <c r="N29" i="18" s="1"/>
  <c r="F29" i="18"/>
  <c r="G29" i="18" s="1"/>
  <c r="L28" i="18"/>
  <c r="M28" i="18" s="1"/>
  <c r="N28" i="18" s="1"/>
  <c r="F28" i="18"/>
  <c r="G28" i="18" s="1"/>
  <c r="L27" i="18"/>
  <c r="M27" i="18" s="1"/>
  <c r="N27" i="18" s="1"/>
  <c r="F27" i="18"/>
  <c r="G27" i="18" s="1"/>
  <c r="L26" i="18"/>
  <c r="M26" i="18" s="1"/>
  <c r="N26" i="18" s="1"/>
  <c r="F20" i="18"/>
  <c r="G20" i="18" s="1"/>
  <c r="G19" i="18"/>
  <c r="H19" i="18" s="1"/>
  <c r="G18" i="18"/>
  <c r="H18" i="18" s="1"/>
  <c r="F17" i="18"/>
  <c r="G17" i="18" s="1"/>
  <c r="G16" i="18"/>
  <c r="H16" i="18" s="1"/>
  <c r="G15" i="18"/>
  <c r="H15" i="18" s="1"/>
  <c r="F14" i="18"/>
  <c r="G14" i="18" s="1"/>
  <c r="F13" i="18"/>
  <c r="G13" i="18" s="1"/>
  <c r="H13" i="18" s="1"/>
  <c r="F12" i="18"/>
  <c r="G12" i="18" s="1"/>
  <c r="F11" i="18"/>
  <c r="G11" i="18" s="1"/>
  <c r="F10" i="18"/>
  <c r="G10" i="18" s="1"/>
  <c r="O43" i="18" l="1"/>
  <c r="I58" i="18"/>
  <c r="J58" i="18" s="1"/>
  <c r="I40" i="14" s="1"/>
  <c r="I60" i="18"/>
  <c r="I62" i="18"/>
  <c r="O42" i="18"/>
  <c r="I59" i="18"/>
  <c r="J59" i="18" s="1"/>
  <c r="I41" i="14" s="1"/>
  <c r="I61" i="18"/>
  <c r="O71" i="5"/>
  <c r="P71" i="5" s="1"/>
  <c r="O67" i="5"/>
  <c r="P67" i="5" s="1"/>
  <c r="AC50" i="3"/>
  <c r="AC53" i="3"/>
  <c r="AC49" i="3"/>
  <c r="AC48" i="3"/>
  <c r="AC52" i="3"/>
  <c r="AC51" i="3"/>
  <c r="O30" i="18"/>
  <c r="P30" i="18" s="1"/>
  <c r="C56" i="14" s="1"/>
  <c r="O28" i="18"/>
  <c r="P28" i="18" s="1"/>
  <c r="C54" i="14" s="1"/>
  <c r="O32" i="18"/>
  <c r="P32" i="18" s="1"/>
  <c r="C58" i="14" s="1"/>
  <c r="O27" i="18"/>
  <c r="P27" i="18" s="1"/>
  <c r="C53" i="14" s="1"/>
  <c r="O26" i="18"/>
  <c r="O33" i="18"/>
  <c r="P33" i="18" s="1"/>
  <c r="C59" i="14" s="1"/>
  <c r="O29" i="18"/>
  <c r="O31" i="18"/>
  <c r="P31" i="18" s="1"/>
  <c r="C57" i="14" s="1"/>
  <c r="J62" i="18"/>
  <c r="I44" i="14" s="1"/>
  <c r="J63" i="18"/>
  <c r="I45" i="14" s="1"/>
  <c r="J60" i="18"/>
  <c r="I42" i="14" s="1"/>
  <c r="P26" i="18"/>
  <c r="C52" i="14" s="1"/>
  <c r="N58" i="18"/>
  <c r="N76" i="18"/>
  <c r="N75" i="18"/>
  <c r="O68" i="5"/>
  <c r="P68" i="5" s="1"/>
  <c r="N67" i="5"/>
  <c r="O69" i="5"/>
  <c r="P69" i="5" s="1"/>
  <c r="N71" i="5"/>
  <c r="N70" i="5"/>
  <c r="N66" i="5"/>
  <c r="O66" i="5"/>
  <c r="P66" i="5" s="1"/>
  <c r="N82" i="18"/>
  <c r="N81" i="18"/>
  <c r="N78" i="18"/>
  <c r="N77" i="18"/>
  <c r="N74" i="18"/>
  <c r="N62" i="18"/>
  <c r="N59" i="18"/>
  <c r="J61" i="18"/>
  <c r="I43" i="14" s="1"/>
  <c r="H26" i="18"/>
  <c r="P42" i="18"/>
  <c r="E52" i="14" s="1"/>
  <c r="H74" i="18"/>
  <c r="H17" i="18"/>
  <c r="H14" i="18"/>
  <c r="H12" i="18"/>
  <c r="H20" i="18"/>
  <c r="H11" i="18"/>
  <c r="H10" i="18"/>
  <c r="H30" i="18"/>
  <c r="H29" i="18"/>
  <c r="H28" i="18"/>
  <c r="H27" i="18"/>
  <c r="H33" i="18"/>
  <c r="P44" i="18"/>
  <c r="E54" i="14" s="1"/>
  <c r="P43" i="18"/>
  <c r="E53" i="14" s="1"/>
  <c r="H42" i="18"/>
  <c r="H43" i="18"/>
  <c r="H44" i="18"/>
  <c r="P29" i="18"/>
  <c r="C55" i="14" s="1"/>
  <c r="P9" i="13"/>
  <c r="P7" i="13"/>
  <c r="P5" i="13"/>
  <c r="O11" i="13"/>
  <c r="H24" i="14"/>
  <c r="E24" i="14"/>
  <c r="C22" i="14"/>
  <c r="C21" i="14"/>
  <c r="C20" i="14"/>
  <c r="C19" i="14"/>
  <c r="C18" i="14"/>
  <c r="E7" i="14"/>
  <c r="F7" i="3"/>
  <c r="M50" i="6"/>
  <c r="L50" i="6"/>
  <c r="M49" i="6"/>
  <c r="L49" i="6"/>
  <c r="M48" i="6"/>
  <c r="L48" i="6"/>
  <c r="M47" i="6"/>
  <c r="L47" i="6"/>
  <c r="M46" i="6"/>
  <c r="L46" i="6"/>
  <c r="M44" i="6"/>
  <c r="L44" i="6"/>
  <c r="M43" i="6"/>
  <c r="L43" i="6"/>
  <c r="M42" i="6"/>
  <c r="L42" i="6"/>
  <c r="M41" i="6"/>
  <c r="L41" i="6"/>
  <c r="M40" i="6"/>
  <c r="L40" i="6"/>
  <c r="M39" i="6"/>
  <c r="L39" i="6"/>
  <c r="M38" i="6"/>
  <c r="L38" i="6"/>
  <c r="M37" i="6"/>
  <c r="L37" i="6"/>
  <c r="M36" i="6"/>
  <c r="L36" i="6"/>
  <c r="M35" i="6"/>
  <c r="L35" i="6"/>
  <c r="M34" i="6"/>
  <c r="L34" i="6"/>
  <c r="M33" i="6"/>
  <c r="L33" i="6"/>
  <c r="M32" i="6"/>
  <c r="L32" i="6"/>
  <c r="M31" i="6"/>
  <c r="L31" i="6"/>
  <c r="M30" i="6"/>
  <c r="L30" i="6"/>
  <c r="M29" i="6"/>
  <c r="L29" i="6"/>
  <c r="M28" i="6"/>
  <c r="L28" i="6"/>
  <c r="M27" i="6"/>
  <c r="L27" i="6"/>
  <c r="M26" i="6"/>
  <c r="L26" i="6"/>
  <c r="M25" i="6"/>
  <c r="L25" i="6"/>
  <c r="M24" i="6"/>
  <c r="L24" i="6"/>
  <c r="M23" i="6"/>
  <c r="L23" i="6"/>
  <c r="M22" i="6"/>
  <c r="L22" i="6"/>
  <c r="M21" i="6"/>
  <c r="L21" i="6"/>
  <c r="M20" i="6"/>
  <c r="L20" i="6"/>
  <c r="M19" i="6"/>
  <c r="L19" i="6"/>
  <c r="M18" i="6"/>
  <c r="L18" i="6"/>
  <c r="M17" i="6"/>
  <c r="L17" i="6"/>
  <c r="M16" i="6"/>
  <c r="L16" i="6"/>
  <c r="M15" i="6"/>
  <c r="L15" i="6"/>
  <c r="M14" i="6"/>
  <c r="L14" i="6"/>
  <c r="M13" i="6"/>
  <c r="L13" i="6"/>
  <c r="M12" i="6"/>
  <c r="L12" i="6"/>
  <c r="M11" i="6"/>
  <c r="L11" i="6"/>
  <c r="M10" i="6"/>
  <c r="L10" i="6"/>
  <c r="M9" i="6"/>
  <c r="L9" i="6"/>
  <c r="M8" i="6"/>
  <c r="L8" i="6"/>
  <c r="M7" i="6"/>
  <c r="L7" i="6"/>
  <c r="M6" i="6"/>
  <c r="L6" i="6"/>
  <c r="M5" i="6"/>
  <c r="L5" i="6"/>
  <c r="M4" i="6"/>
  <c r="L4" i="6"/>
  <c r="M3" i="6"/>
  <c r="L3" i="6"/>
  <c r="M2" i="6"/>
  <c r="L2" i="6"/>
  <c r="C50" i="6"/>
  <c r="C49" i="6"/>
  <c r="C48" i="6"/>
  <c r="C47" i="6"/>
  <c r="C46" i="6"/>
  <c r="B50" i="6"/>
  <c r="B49" i="6"/>
  <c r="B48" i="6"/>
  <c r="B47" i="6"/>
  <c r="B46" i="6"/>
  <c r="N50" i="6"/>
  <c r="N49" i="6"/>
  <c r="N48" i="6"/>
  <c r="N47" i="6"/>
  <c r="N46"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N9" i="6"/>
  <c r="N8" i="6"/>
  <c r="N7" i="6"/>
  <c r="N6" i="6"/>
  <c r="N5" i="6"/>
  <c r="N4" i="6"/>
  <c r="N3" i="6"/>
  <c r="N2" i="6"/>
  <c r="AM50" i="6"/>
  <c r="AM49" i="6"/>
  <c r="AM48" i="6"/>
  <c r="AM47" i="6"/>
  <c r="AM46" i="6"/>
  <c r="I43" i="18" l="1"/>
  <c r="J43" i="18" s="1"/>
  <c r="E41" i="14" s="1"/>
  <c r="I44" i="18"/>
  <c r="I42" i="18"/>
  <c r="J42" i="18" s="1"/>
  <c r="E40" i="14" s="1"/>
  <c r="I81" i="18"/>
  <c r="I79" i="18"/>
  <c r="I77" i="18"/>
  <c r="I75" i="18"/>
  <c r="I82" i="18"/>
  <c r="I80" i="18"/>
  <c r="J80" i="18" s="1"/>
  <c r="L46" i="14" s="1"/>
  <c r="I78" i="18"/>
  <c r="I76" i="18"/>
  <c r="J76" i="18" s="1"/>
  <c r="L42" i="14" s="1"/>
  <c r="I74" i="18"/>
  <c r="O82" i="18"/>
  <c r="O80" i="18"/>
  <c r="O78" i="18"/>
  <c r="P78" i="18" s="1"/>
  <c r="L56" i="14" s="1"/>
  <c r="O76" i="18"/>
  <c r="O74" i="18"/>
  <c r="O81" i="18"/>
  <c r="O79" i="18"/>
  <c r="O77" i="18"/>
  <c r="O75" i="18"/>
  <c r="O63" i="18"/>
  <c r="O61" i="18"/>
  <c r="O59" i="18"/>
  <c r="O62" i="18"/>
  <c r="O60" i="18"/>
  <c r="O58" i="18"/>
  <c r="P58" i="18" s="1"/>
  <c r="AC79" i="3"/>
  <c r="I17" i="18"/>
  <c r="J17" i="18" s="1"/>
  <c r="A47" i="14" s="1"/>
  <c r="I19" i="18"/>
  <c r="J19" i="18" s="1"/>
  <c r="I20" i="18"/>
  <c r="J20" i="18" s="1"/>
  <c r="I18" i="18"/>
  <c r="I10" i="18"/>
  <c r="L10" i="18" s="1"/>
  <c r="M10" i="18" s="1"/>
  <c r="I11" i="18"/>
  <c r="I12" i="18"/>
  <c r="I13" i="18"/>
  <c r="I14" i="18"/>
  <c r="J14" i="18" s="1"/>
  <c r="A44" i="14" s="1"/>
  <c r="I15" i="18"/>
  <c r="J15" i="18" s="1"/>
  <c r="A45" i="14" s="1"/>
  <c r="I16" i="18"/>
  <c r="J16" i="18" s="1"/>
  <c r="A46" i="14" s="1"/>
  <c r="I30" i="18"/>
  <c r="J30" i="18" s="1"/>
  <c r="C44" i="14" s="1"/>
  <c r="I32" i="18"/>
  <c r="J32" i="18" s="1"/>
  <c r="C46" i="14" s="1"/>
  <c r="I29" i="18"/>
  <c r="J29" i="18" s="1"/>
  <c r="C43" i="14" s="1"/>
  <c r="I31" i="18"/>
  <c r="J31" i="18" s="1"/>
  <c r="C45" i="14" s="1"/>
  <c r="I28" i="18"/>
  <c r="I33" i="18"/>
  <c r="I26" i="18"/>
  <c r="J26" i="18" s="1"/>
  <c r="C40" i="14" s="1"/>
  <c r="I27" i="18"/>
  <c r="J27" i="18" s="1"/>
  <c r="C41" i="14" s="1"/>
  <c r="P59" i="18"/>
  <c r="J79" i="18"/>
  <c r="L45" i="14" s="1"/>
  <c r="J78" i="18"/>
  <c r="L44" i="14" s="1"/>
  <c r="J44" i="18"/>
  <c r="E42" i="14" s="1"/>
  <c r="J28" i="18"/>
  <c r="C42" i="14" s="1"/>
  <c r="P82" i="18"/>
  <c r="P81" i="18"/>
  <c r="L59" i="14" s="1"/>
  <c r="P80" i="18"/>
  <c r="L58" i="14" s="1"/>
  <c r="P79" i="18"/>
  <c r="L57" i="14" s="1"/>
  <c r="R67" i="5"/>
  <c r="Q69" i="5"/>
  <c r="R66" i="5"/>
  <c r="Q67" i="5"/>
  <c r="R71" i="5"/>
  <c r="Q68" i="5"/>
  <c r="R70" i="5"/>
  <c r="Q70" i="5"/>
  <c r="R68" i="5"/>
  <c r="Q71" i="5"/>
  <c r="Q66" i="5"/>
  <c r="R69" i="5"/>
  <c r="P76" i="18"/>
  <c r="L54" i="14" s="1"/>
  <c r="P77" i="18"/>
  <c r="L55" i="14" s="1"/>
  <c r="P75" i="18"/>
  <c r="L53" i="14" s="1"/>
  <c r="J81" i="18"/>
  <c r="L47" i="14" s="1"/>
  <c r="J75" i="18"/>
  <c r="L41" i="14" s="1"/>
  <c r="J77" i="18"/>
  <c r="L43" i="14" s="1"/>
  <c r="J82" i="18"/>
  <c r="J74" i="18"/>
  <c r="L40" i="14" s="1"/>
  <c r="P62" i="18"/>
  <c r="I56" i="14" s="1"/>
  <c r="P61" i="18"/>
  <c r="P63" i="18"/>
  <c r="I57" i="14" s="1"/>
  <c r="P60" i="18"/>
  <c r="J33" i="18"/>
  <c r="C47" i="14" s="1"/>
  <c r="P74" i="18"/>
  <c r="L52" i="14" s="1"/>
  <c r="J18" i="18"/>
  <c r="J11" i="18"/>
  <c r="J12" i="18"/>
  <c r="A42" i="14" s="1"/>
  <c r="J13" i="18"/>
  <c r="A43" i="14" s="1"/>
  <c r="G69" i="5" l="1"/>
  <c r="G71" i="5"/>
  <c r="G70" i="5"/>
  <c r="U70" i="5"/>
  <c r="U66" i="5"/>
  <c r="U69" i="5"/>
  <c r="U67" i="5"/>
  <c r="G66" i="5"/>
  <c r="G68" i="5"/>
  <c r="U68" i="5"/>
  <c r="U71" i="5"/>
  <c r="G67" i="5"/>
  <c r="G59" i="14"/>
  <c r="I55" i="14"/>
  <c r="N10" i="18"/>
  <c r="N13" i="18"/>
  <c r="G58" i="14"/>
  <c r="I54" i="14"/>
  <c r="G57" i="14"/>
  <c r="I53" i="14"/>
  <c r="G56" i="14"/>
  <c r="I52" i="14"/>
  <c r="A41" i="14"/>
  <c r="J10" i="18"/>
  <c r="O3" i="5"/>
  <c r="N3" i="5"/>
  <c r="D82" i="5"/>
  <c r="D77" i="5"/>
  <c r="B43" i="13"/>
  <c r="D43" i="13" s="1"/>
  <c r="B30" i="13"/>
  <c r="D30" i="13" s="1"/>
  <c r="B31" i="13"/>
  <c r="E31" i="13" s="1"/>
  <c r="G79" i="5" s="1"/>
  <c r="B32" i="13"/>
  <c r="D32" i="13" s="1"/>
  <c r="F80" i="5" s="1"/>
  <c r="B33" i="13"/>
  <c r="E33" i="13" s="1"/>
  <c r="G81" i="5" s="1"/>
  <c r="B35" i="13"/>
  <c r="D35" i="13" s="1"/>
  <c r="B36" i="13"/>
  <c r="D36" i="13" s="1"/>
  <c r="F84" i="5" s="1"/>
  <c r="B37" i="13"/>
  <c r="E37" i="13" s="1"/>
  <c r="B38" i="13"/>
  <c r="D38" i="13" s="1"/>
  <c r="B39" i="13"/>
  <c r="E39" i="13" s="1"/>
  <c r="B40" i="13"/>
  <c r="D40" i="13" s="1"/>
  <c r="B41" i="13"/>
  <c r="E41" i="13" s="1"/>
  <c r="B42" i="13"/>
  <c r="D42" i="13" s="1"/>
  <c r="E92" i="5"/>
  <c r="E90" i="5"/>
  <c r="E89" i="5"/>
  <c r="I5" i="13" s="1"/>
  <c r="E88" i="5"/>
  <c r="E87" i="5"/>
  <c r="E86" i="5"/>
  <c r="E85" i="5"/>
  <c r="E84" i="5"/>
  <c r="E83" i="5"/>
  <c r="E81" i="5"/>
  <c r="E80" i="5"/>
  <c r="E79" i="5"/>
  <c r="E78" i="5"/>
  <c r="O17" i="18" l="1"/>
  <c r="P17" i="18" s="1"/>
  <c r="O18" i="18"/>
  <c r="P18" i="18" s="1"/>
  <c r="O10" i="18"/>
  <c r="O19" i="18"/>
  <c r="O11" i="18"/>
  <c r="O16" i="18"/>
  <c r="P16" i="18" s="1"/>
  <c r="O20" i="18"/>
  <c r="P20" i="18" s="1"/>
  <c r="O12" i="18"/>
  <c r="P12" i="18" s="1"/>
  <c r="O13" i="18"/>
  <c r="P13" i="18" s="1"/>
  <c r="O14" i="18"/>
  <c r="P14" i="18" s="1"/>
  <c r="O15" i="18"/>
  <c r="P15" i="18" s="1"/>
  <c r="M74" i="5" a="1"/>
  <c r="M74" i="5" s="1"/>
  <c r="B72" i="5" s="1"/>
  <c r="F78" i="5"/>
  <c r="F83" i="5"/>
  <c r="A40" i="14"/>
  <c r="P19" i="18"/>
  <c r="P11" i="18"/>
  <c r="P10" i="18"/>
  <c r="D22" i="14"/>
  <c r="I11" i="13"/>
  <c r="D19" i="14"/>
  <c r="I10" i="13"/>
  <c r="D21" i="14"/>
  <c r="I6" i="13"/>
  <c r="D20" i="14"/>
  <c r="D18" i="14"/>
  <c r="I9" i="13"/>
  <c r="B29" i="13"/>
  <c r="C16" i="14"/>
  <c r="G85" i="5"/>
  <c r="F86" i="5"/>
  <c r="F90" i="5"/>
  <c r="E21" i="14"/>
  <c r="G89" i="5"/>
  <c r="H20" i="14"/>
  <c r="F92" i="5"/>
  <c r="E22" i="14"/>
  <c r="G87" i="5"/>
  <c r="H18" i="14"/>
  <c r="F88" i="5"/>
  <c r="E19" i="14"/>
  <c r="B34" i="13"/>
  <c r="C17" i="14"/>
  <c r="D31" i="13"/>
  <c r="F79" i="5" s="1"/>
  <c r="E43" i="13"/>
  <c r="E38" i="13"/>
  <c r="D37" i="13"/>
  <c r="E16" i="14" s="1"/>
  <c r="E36" i="13"/>
  <c r="G84" i="5" s="1"/>
  <c r="D41" i="13"/>
  <c r="D39" i="13"/>
  <c r="E30" i="13"/>
  <c r="G78" i="5" s="1"/>
  <c r="E32" i="13"/>
  <c r="G80" i="5" s="1"/>
  <c r="D33" i="13"/>
  <c r="F81" i="5" s="1"/>
  <c r="E40" i="13"/>
  <c r="E35" i="13"/>
  <c r="G83" i="5" s="1"/>
  <c r="E42" i="13"/>
  <c r="E82" i="5"/>
  <c r="E77" i="5"/>
  <c r="E6" i="14"/>
  <c r="B48" i="13"/>
  <c r="E34" i="14" s="1"/>
  <c r="B47" i="13"/>
  <c r="E33" i="14" s="1"/>
  <c r="D50" i="6"/>
  <c r="D49" i="6"/>
  <c r="D48" i="6"/>
  <c r="D47" i="6"/>
  <c r="D46"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C44" i="6"/>
  <c r="B44" i="6"/>
  <c r="C43" i="6"/>
  <c r="B43" i="6"/>
  <c r="C42" i="6"/>
  <c r="B42" i="6"/>
  <c r="C41" i="6"/>
  <c r="B41" i="6"/>
  <c r="C40" i="6"/>
  <c r="B40" i="6"/>
  <c r="C39" i="6"/>
  <c r="B39" i="6"/>
  <c r="C38" i="6"/>
  <c r="B38" i="6"/>
  <c r="C37" i="6"/>
  <c r="B37" i="6"/>
  <c r="C36" i="6"/>
  <c r="B36" i="6"/>
  <c r="C35" i="6"/>
  <c r="B35" i="6"/>
  <c r="C34" i="6"/>
  <c r="B34" i="6"/>
  <c r="C33" i="6"/>
  <c r="B33" i="6"/>
  <c r="C32" i="6"/>
  <c r="B32" i="6"/>
  <c r="C31" i="6"/>
  <c r="B31" i="6"/>
  <c r="C30" i="6"/>
  <c r="B30" i="6"/>
  <c r="C29" i="6"/>
  <c r="B29" i="6"/>
  <c r="C28" i="6"/>
  <c r="B28" i="6"/>
  <c r="C27" i="6"/>
  <c r="B27" i="6"/>
  <c r="C26" i="6"/>
  <c r="B26" i="6"/>
  <c r="C25" i="6"/>
  <c r="B25" i="6"/>
  <c r="C24" i="6"/>
  <c r="B24" i="6"/>
  <c r="C23" i="6"/>
  <c r="B23" i="6"/>
  <c r="C22" i="6"/>
  <c r="B22" i="6"/>
  <c r="C21" i="6"/>
  <c r="B21" i="6"/>
  <c r="C20" i="6"/>
  <c r="B20" i="6"/>
  <c r="C19" i="6"/>
  <c r="B19" i="6"/>
  <c r="C18" i="6"/>
  <c r="B18" i="6"/>
  <c r="C17" i="6"/>
  <c r="B17" i="6"/>
  <c r="C16" i="6"/>
  <c r="B16" i="6"/>
  <c r="C15" i="6"/>
  <c r="B15" i="6"/>
  <c r="C14" i="6"/>
  <c r="B14" i="6"/>
  <c r="C13" i="6"/>
  <c r="B13" i="6"/>
  <c r="C12" i="6"/>
  <c r="B12" i="6"/>
  <c r="C11" i="6"/>
  <c r="B11" i="6"/>
  <c r="AE76" i="3"/>
  <c r="AE78" i="3"/>
  <c r="J29" i="14" s="1"/>
  <c r="E17" i="14" l="1"/>
  <c r="G46" i="14"/>
  <c r="A58" i="14"/>
  <c r="G43" i="14"/>
  <c r="A55" i="14"/>
  <c r="G45" i="14"/>
  <c r="A57" i="14"/>
  <c r="G47" i="14"/>
  <c r="A59" i="14"/>
  <c r="G42" i="14"/>
  <c r="A54" i="14"/>
  <c r="G44" i="14"/>
  <c r="A56" i="14"/>
  <c r="G41" i="14"/>
  <c r="A53" i="14"/>
  <c r="G40" i="14"/>
  <c r="A52" i="14"/>
  <c r="D17" i="14"/>
  <c r="I7" i="13"/>
  <c r="D16" i="14"/>
  <c r="I8" i="13"/>
  <c r="C23" i="14"/>
  <c r="G86" i="5"/>
  <c r="F85" i="5"/>
  <c r="G90" i="5"/>
  <c r="H21" i="14"/>
  <c r="F89" i="5"/>
  <c r="E20" i="14"/>
  <c r="G92" i="5"/>
  <c r="H22" i="14"/>
  <c r="F87" i="5"/>
  <c r="E18" i="14"/>
  <c r="G88" i="5"/>
  <c r="H19" i="14"/>
  <c r="E93" i="5"/>
  <c r="I4" i="13"/>
  <c r="D23" i="14" l="1"/>
  <c r="E23" i="14"/>
  <c r="E25" i="14" s="1"/>
  <c r="H23" i="14"/>
  <c r="H25" i="14" s="1"/>
  <c r="G21" i="13"/>
  <c r="I21" i="13" s="1"/>
  <c r="J21" i="13" s="1"/>
  <c r="K21" i="13" s="1"/>
  <c r="G20" i="13"/>
  <c r="I20" i="13" s="1"/>
  <c r="J20" i="13" s="1"/>
  <c r="K20" i="13" s="1"/>
  <c r="F22" i="13"/>
  <c r="F21" i="13"/>
  <c r="F20" i="13"/>
  <c r="F19" i="13"/>
  <c r="F18" i="13"/>
  <c r="O10" i="13"/>
  <c r="O9" i="13"/>
  <c r="O8" i="13"/>
  <c r="O7" i="13"/>
  <c r="O6" i="13"/>
  <c r="O5" i="13"/>
  <c r="J4" i="13"/>
  <c r="K4" i="13" s="1"/>
  <c r="H11" i="13"/>
  <c r="G10" i="13"/>
  <c r="G9" i="13"/>
  <c r="G8" i="13"/>
  <c r="AC36" i="3" s="1"/>
  <c r="G7" i="13"/>
  <c r="G6" i="13"/>
  <c r="G5" i="13"/>
  <c r="G4" i="13"/>
  <c r="I18" i="13" s="1"/>
  <c r="J18" i="13" s="1"/>
  <c r="K18" i="13" s="1"/>
  <c r="G3" i="13"/>
  <c r="G2" i="13"/>
  <c r="F4" i="13"/>
  <c r="F3" i="13"/>
  <c r="F2" i="13"/>
  <c r="L2" i="13" l="1"/>
  <c r="M2" i="13" s="1"/>
  <c r="L4" i="13"/>
  <c r="M4" i="13" s="1"/>
  <c r="L3" i="13"/>
  <c r="M3" i="13" s="1"/>
  <c r="AD36" i="3"/>
  <c r="AC37" i="3"/>
  <c r="AD37" i="3" s="1"/>
  <c r="J9" i="13"/>
  <c r="K9" i="13" s="1"/>
  <c r="L9" i="13" s="1"/>
  <c r="M9" i="13" s="1"/>
  <c r="H7" i="13"/>
  <c r="H6" i="13"/>
  <c r="H5" i="13"/>
  <c r="H10" i="13"/>
  <c r="H9" i="13"/>
  <c r="J8" i="13"/>
  <c r="K8" i="13" s="1"/>
  <c r="L8" i="13" s="1"/>
  <c r="M8" i="13" s="1"/>
  <c r="J7" i="13"/>
  <c r="K7" i="13" s="1"/>
  <c r="L7" i="13" s="1"/>
  <c r="M7" i="13" s="1"/>
  <c r="G19" i="13"/>
  <c r="G18" i="13"/>
  <c r="H8" i="13"/>
  <c r="J10" i="13"/>
  <c r="H4" i="13"/>
  <c r="H3" i="13"/>
  <c r="H2" i="13"/>
  <c r="J11" i="13"/>
  <c r="K11" i="13" s="1"/>
  <c r="L11" i="13" s="1"/>
  <c r="M11" i="13" s="1"/>
  <c r="J6" i="13"/>
  <c r="K6" i="13" s="1"/>
  <c r="L6" i="13" s="1"/>
  <c r="M6" i="13" s="1"/>
  <c r="J5" i="13"/>
  <c r="K5" i="13" s="1"/>
  <c r="M6" i="5"/>
  <c r="C10" i="6"/>
  <c r="C9" i="6"/>
  <c r="C8" i="6"/>
  <c r="C7" i="6"/>
  <c r="C6" i="6"/>
  <c r="C5" i="6"/>
  <c r="C4" i="6"/>
  <c r="C3" i="6"/>
  <c r="C2" i="6"/>
  <c r="B10" i="6"/>
  <c r="B9" i="6"/>
  <c r="B8" i="6"/>
  <c r="B7" i="6"/>
  <c r="B6" i="6"/>
  <c r="B5" i="6"/>
  <c r="B4" i="6"/>
  <c r="B3" i="6"/>
  <c r="B2" i="6"/>
  <c r="I19" i="13" l="1"/>
  <c r="L5" i="13"/>
  <c r="AC38" i="3"/>
  <c r="AC39" i="3"/>
  <c r="G82" i="5"/>
  <c r="F82" i="5"/>
  <c r="G77" i="5"/>
  <c r="F77" i="5"/>
  <c r="H12" i="13"/>
  <c r="AC68" i="3" s="1"/>
  <c r="K10" i="13"/>
  <c r="K19" i="13" s="1"/>
  <c r="J19" i="13"/>
  <c r="C124" i="5"/>
  <c r="M5" i="13" l="1"/>
  <c r="L10" i="13"/>
  <c r="M10" i="13" s="1"/>
  <c r="AD39" i="3"/>
  <c r="AD38" i="3"/>
  <c r="G93" i="5"/>
  <c r="AC80" i="3"/>
  <c r="C13" i="5"/>
  <c r="F11" i="3" s="1"/>
  <c r="E8" i="14" s="1"/>
  <c r="L12" i="13" l="1"/>
  <c r="M12" i="13"/>
  <c r="AE50" i="3"/>
  <c r="AE51" i="3"/>
  <c r="AE52" i="3"/>
  <c r="AE48" i="3"/>
  <c r="AH43" i="3"/>
  <c r="AE49" i="3"/>
  <c r="AE53" i="3"/>
  <c r="AF78" i="3"/>
  <c r="S17" i="13" s="1"/>
  <c r="AE80" i="3"/>
  <c r="G22" i="13"/>
  <c r="I22" i="13" s="1"/>
  <c r="AE36" i="3" s="1"/>
  <c r="AE37" i="3" s="1"/>
  <c r="AC78" i="3"/>
  <c r="E29" i="14" s="1"/>
  <c r="E28" i="14"/>
  <c r="F93" i="5"/>
  <c r="D44" i="13"/>
  <c r="E44" i="13"/>
  <c r="AF80" i="3" l="1"/>
  <c r="AF79" i="3" s="1"/>
  <c r="AE79" i="3"/>
  <c r="J28" i="14"/>
  <c r="H23" i="13"/>
  <c r="AC61" i="3" s="1"/>
  <c r="J22" i="13"/>
  <c r="K22" i="13" s="1"/>
  <c r="S18" i="13" l="1"/>
  <c r="N7" i="13" s="1"/>
  <c r="AE38" i="3"/>
  <c r="H25" i="13"/>
  <c r="AC62" i="3" s="1"/>
  <c r="AC63" i="3" s="1"/>
  <c r="AG36" i="3"/>
  <c r="N9" i="13" l="1"/>
  <c r="K18" i="14" s="1"/>
  <c r="N10" i="13"/>
  <c r="K19" i="14" s="1"/>
  <c r="N8" i="13"/>
  <c r="AE68" i="3" s="1"/>
  <c r="N2" i="13"/>
  <c r="N11" i="13"/>
  <c r="AJ68" i="3" s="1"/>
  <c r="N4" i="13"/>
  <c r="N3" i="13"/>
  <c r="N5" i="13"/>
  <c r="AH68" i="3" s="1"/>
  <c r="N6" i="13"/>
  <c r="AI68" i="3" s="1"/>
  <c r="K17" i="14"/>
  <c r="AD68" i="3"/>
  <c r="AG37" i="3"/>
  <c r="AE39" i="3"/>
  <c r="AF68" i="3" l="1"/>
  <c r="K16" i="14"/>
  <c r="AG68" i="3"/>
  <c r="N12" i="13"/>
  <c r="AD80" i="3" s="1"/>
  <c r="H28" i="14" s="1"/>
  <c r="K20" i="14"/>
  <c r="K21" i="14"/>
  <c r="K22" i="14"/>
  <c r="AK68" i="3" l="1"/>
  <c r="AF70" i="3"/>
  <c r="AJ70" i="3"/>
  <c r="AG70" i="3"/>
  <c r="AE70" i="3"/>
  <c r="K23" i="14"/>
  <c r="E32" i="14" s="1"/>
  <c r="AI70" i="3"/>
  <c r="AD70" i="3"/>
  <c r="AH70" i="3"/>
  <c r="N23" i="13"/>
  <c r="N25" i="13" s="1"/>
  <c r="AE62" i="3" s="1"/>
  <c r="AD62" i="3" s="1"/>
  <c r="AD79" i="3"/>
  <c r="AF71" i="3" l="1"/>
  <c r="AF69" i="3" s="1"/>
  <c r="AE71" i="3"/>
  <c r="AE69" i="3" s="1"/>
  <c r="AI71" i="3"/>
  <c r="AI69" i="3" s="1"/>
  <c r="AD71" i="3"/>
  <c r="AD69" i="3" s="1"/>
  <c r="AH71" i="3"/>
  <c r="AH69" i="3" s="1"/>
  <c r="AJ71" i="3"/>
  <c r="AJ69" i="3" s="1"/>
  <c r="AG71" i="3"/>
  <c r="AG69" i="3" s="1"/>
  <c r="AE61" i="3"/>
  <c r="AD61" i="3" s="1"/>
  <c r="AD78" i="3"/>
  <c r="AE63" i="3" l="1"/>
  <c r="AD63" i="3" s="1"/>
  <c r="H2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mwatten</author>
  </authors>
  <commentList>
    <comment ref="B35" authorId="0" shapeId="0" xr:uid="{00000000-0006-0000-0300-000001000000}">
      <text>
        <r>
          <rPr>
            <b/>
            <sz val="10"/>
            <color indexed="81"/>
            <rFont val="Tahoma"/>
            <family val="2"/>
          </rPr>
          <t>The percentage of daily trains through the station that allow bicycles on-board.
A value between 0 and 100.</t>
        </r>
      </text>
    </comment>
    <comment ref="B43" authorId="0" shapeId="0" xr:uid="{00000000-0006-0000-0300-000002000000}">
      <text>
        <r>
          <rPr>
            <b/>
            <sz val="10"/>
            <color indexed="81"/>
            <rFont val="Tahoma"/>
            <family val="2"/>
          </rPr>
          <t>General rating of security of bicycle parking at station based on user perception.
A value between 1 and 4, with 1 being poor security.</t>
        </r>
      </text>
    </comment>
    <comment ref="B44" authorId="0" shapeId="0" xr:uid="{00000000-0006-0000-0300-000003000000}">
      <text>
        <r>
          <rPr>
            <b/>
            <sz val="10"/>
            <color indexed="81"/>
            <rFont val="Tahoma"/>
            <family val="2"/>
          </rPr>
          <t>General rating of lighting of bicycle parking at station based on user perception. 
A value between 1 and 4, with 1 being poor lighting.</t>
        </r>
      </text>
    </comment>
    <comment ref="B91" authorId="0" shapeId="0" xr:uid="{00000000-0006-0000-0300-000004000000}">
      <text>
        <r>
          <rPr>
            <b/>
            <sz val="10"/>
            <color indexed="81"/>
            <rFont val="Tahoma"/>
            <family val="2"/>
          </rPr>
          <t>The value chosen here would be the new non-blackout percentage (not additive / subtractive).
A value between 0 and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mwatten</author>
  </authors>
  <commentList>
    <comment ref="J1" authorId="0" shapeId="0" xr:uid="{00000000-0006-0000-0700-000001000000}">
      <text>
        <r>
          <rPr>
            <b/>
            <sz val="8"/>
            <color indexed="81"/>
            <rFont val="Tahoma"/>
            <family val="2"/>
          </rPr>
          <t>mwatten:</t>
        </r>
        <r>
          <rPr>
            <sz val="8"/>
            <color indexed="81"/>
            <rFont val="Tahoma"/>
            <family val="2"/>
          </rPr>
          <t xml:space="preserve">
first check if aggregate categories over threshold</t>
        </r>
      </text>
    </comment>
    <comment ref="K1" authorId="0" shapeId="0" xr:uid="{00000000-0006-0000-0700-000002000000}">
      <text>
        <r>
          <rPr>
            <b/>
            <sz val="8"/>
            <color indexed="81"/>
            <rFont val="Tahoma"/>
            <family val="2"/>
          </rPr>
          <t>mwatten:</t>
        </r>
        <r>
          <rPr>
            <sz val="8"/>
            <color indexed="81"/>
            <rFont val="Tahoma"/>
            <family val="2"/>
          </rPr>
          <t xml:space="preserve">
then  check if individual category over threshold</t>
        </r>
      </text>
    </comment>
  </commentList>
</comments>
</file>

<file path=xl/sharedStrings.xml><?xml version="1.0" encoding="utf-8"?>
<sst xmlns="http://schemas.openxmlformats.org/spreadsheetml/2006/main" count="997" uniqueCount="466">
  <si>
    <t>Population within 1/2 mile</t>
  </si>
  <si>
    <t>Bicycle rack spaces outside fare gates</t>
  </si>
  <si>
    <t>Bicycle rack spaces inside fare gates</t>
  </si>
  <si>
    <t>Keyed lockers</t>
  </si>
  <si>
    <t>Electronic lockers</t>
  </si>
  <si>
    <t>Self serve bike station spaces</t>
  </si>
  <si>
    <t>Attended bike station spaces</t>
  </si>
  <si>
    <t>Annual Operating</t>
  </si>
  <si>
    <t>Keyed Locker</t>
  </si>
  <si>
    <t>Total</t>
  </si>
  <si>
    <t>Ashby</t>
  </si>
  <si>
    <t>Instructions</t>
  </si>
  <si>
    <t>Station Type</t>
  </si>
  <si>
    <t>Urban</t>
  </si>
  <si>
    <t>Urban with Parking</t>
  </si>
  <si>
    <t>Balanced Intermodal</t>
  </si>
  <si>
    <t>Auto Dependent</t>
  </si>
  <si>
    <t>Board with Bike</t>
  </si>
  <si>
    <t>Park and Ride</t>
  </si>
  <si>
    <t>Scenario</t>
  </si>
  <si>
    <t>Total Bicycle Access Ridership Model</t>
  </si>
  <si>
    <t>Dependent Variable</t>
  </si>
  <si>
    <t>-</t>
  </si>
  <si>
    <t>Total Bicycle Access Ridership</t>
  </si>
  <si>
    <t xml:space="preserve"> Independent Variables</t>
  </si>
  <si>
    <t>Coefficient</t>
  </si>
  <si>
    <t>Population within ½ mile</t>
  </si>
  <si>
    <t>Unreserved Parking Spaces</t>
  </si>
  <si>
    <t>Non-Blackout Percentage of Daily Trains</t>
  </si>
  <si>
    <t>Self-Service Bike Station Spaces</t>
  </si>
  <si>
    <t>Attended Bike Station Spaces</t>
  </si>
  <si>
    <t>Total Rack Spaces</t>
  </si>
  <si>
    <t>Total Locker Spaces</t>
  </si>
  <si>
    <t>Source:  Fehr &amp; Peers, 2011.</t>
  </si>
  <si>
    <t>Total Bicycle Parking Spaces</t>
  </si>
  <si>
    <t>Security of Bicycle Parking</t>
  </si>
  <si>
    <t>Lighting of Bicycle Parking</t>
  </si>
  <si>
    <t>Non-blackout percentage</t>
  </si>
  <si>
    <t>Bike Cage</t>
  </si>
  <si>
    <t>Log of P&amp;R Share</t>
  </si>
  <si>
    <t>supply</t>
  </si>
  <si>
    <t>total ridership</t>
  </si>
  <si>
    <t>diff</t>
  </si>
  <si>
    <t>Racks outside fare gates</t>
  </si>
  <si>
    <t>Racks inside fare gates</t>
  </si>
  <si>
    <t>Recommended</t>
  </si>
  <si>
    <t>under rec?</t>
  </si>
  <si>
    <t>El Cerrito Plaza</t>
  </si>
  <si>
    <t>Civic Center</t>
  </si>
  <si>
    <t>Colma</t>
  </si>
  <si>
    <t>Choose Scenario Year</t>
  </si>
  <si>
    <t>Scenario Name</t>
  </si>
  <si>
    <t>Total Budget</t>
  </si>
  <si>
    <t>What station are you analyzing?</t>
  </si>
  <si>
    <t>Station type</t>
  </si>
  <si>
    <t>1 = BART station, 2 = non-BART station</t>
  </si>
  <si>
    <t>5A</t>
  </si>
  <si>
    <t>5B</t>
  </si>
  <si>
    <t>BART Station selection</t>
  </si>
  <si>
    <t>BART Station Typology selection</t>
  </si>
  <si>
    <t>Station typology</t>
  </si>
  <si>
    <t>Intermodal / Auto Reliant</t>
  </si>
  <si>
    <t>Unreserved vehicle parking spaces</t>
  </si>
  <si>
    <t>Security of bicycle parking rating</t>
  </si>
  <si>
    <t>Lighting of bicycle parking rating</t>
  </si>
  <si>
    <t>under this line will be hidden</t>
  </si>
  <si>
    <t>mode share</t>
  </si>
  <si>
    <t>total rider</t>
  </si>
  <si>
    <t>bike acces ride</t>
  </si>
  <si>
    <t>6A</t>
  </si>
  <si>
    <t>Bicycle Mode Share Goal</t>
  </si>
  <si>
    <t>6B</t>
  </si>
  <si>
    <t>12th St Oakland</t>
  </si>
  <si>
    <t>16th St Mission</t>
  </si>
  <si>
    <t>19th St Oakland</t>
  </si>
  <si>
    <t>24th St Mission</t>
  </si>
  <si>
    <t>Balboa Park</t>
  </si>
  <si>
    <t>Bayfair</t>
  </si>
  <si>
    <t>Castro Valley</t>
  </si>
  <si>
    <t>Coliseum</t>
  </si>
  <si>
    <t>Concord</t>
  </si>
  <si>
    <t>Daly City</t>
  </si>
  <si>
    <t>Downtown Berkeley</t>
  </si>
  <si>
    <t>Dublin/Pleasanton</t>
  </si>
  <si>
    <t>El Cerrito Del Norte</t>
  </si>
  <si>
    <t>Embarcadero</t>
  </si>
  <si>
    <t>Fremont</t>
  </si>
  <si>
    <t>Fruitvale</t>
  </si>
  <si>
    <t>Glen Park</t>
  </si>
  <si>
    <t>Hayward</t>
  </si>
  <si>
    <t>Lafayette</t>
  </si>
  <si>
    <t>Lake Merritt</t>
  </si>
  <si>
    <t>MacArthur</t>
  </si>
  <si>
    <t>Millbrae</t>
  </si>
  <si>
    <t>Montgomery</t>
  </si>
  <si>
    <t>North Berkeley</t>
  </si>
  <si>
    <t>North Concord</t>
  </si>
  <si>
    <t>Orinda</t>
  </si>
  <si>
    <t>Pittsburg Bay Point</t>
  </si>
  <si>
    <t>Pleasant Hill</t>
  </si>
  <si>
    <t>Powell</t>
  </si>
  <si>
    <t>Richmond</t>
  </si>
  <si>
    <t>Rockridge</t>
  </si>
  <si>
    <t>San Bruno</t>
  </si>
  <si>
    <t>San Leandro</t>
  </si>
  <si>
    <t>South Hayward</t>
  </si>
  <si>
    <t>South San Francisco</t>
  </si>
  <si>
    <t>Union City</t>
  </si>
  <si>
    <t>Walnut Creek</t>
  </si>
  <si>
    <t>West Oakland</t>
  </si>
  <si>
    <t>2008 Pop</t>
  </si>
  <si>
    <t>2030 Pop</t>
  </si>
  <si>
    <t>West Dublin</t>
  </si>
  <si>
    <t>2008 total ridership</t>
  </si>
  <si>
    <t>2020 total ridership</t>
  </si>
  <si>
    <t>2030 total ridership</t>
  </si>
  <si>
    <t>2020 pop</t>
  </si>
  <si>
    <t>2008 parking spaces</t>
  </si>
  <si>
    <t>2020 parking spaces</t>
  </si>
  <si>
    <t>2030 parking spaces</t>
  </si>
  <si>
    <t>pre 2011</t>
  </si>
  <si>
    <t>2011 on</t>
  </si>
  <si>
    <t>Last loaded values</t>
  </si>
  <si>
    <t>Station / Station Typology</t>
  </si>
  <si>
    <t>Scenario Year</t>
  </si>
  <si>
    <t>Strategy</t>
  </si>
  <si>
    <t>High Priority</t>
  </si>
  <si>
    <t>Clean elevators regularly</t>
  </si>
  <si>
    <t>Low Priority</t>
  </si>
  <si>
    <t>Medium Priority</t>
  </si>
  <si>
    <t>Include?</t>
  </si>
  <si>
    <t>Light all bike parking areas</t>
  </si>
  <si>
    <t>Allow Clipper payment for bike parking</t>
  </si>
  <si>
    <t>Create catchment area maps with recommended bike routes</t>
  </si>
  <si>
    <t>Support local efforts to improve bike access to stations</t>
  </si>
  <si>
    <t>Collect access mode data before/after bike improvements</t>
  </si>
  <si>
    <t>Create station standards for bike facilities</t>
  </si>
  <si>
    <t>Keyed Lockers</t>
  </si>
  <si>
    <t>Adjusted</t>
  </si>
  <si>
    <t>Existing Inputs</t>
  </si>
  <si>
    <t>Existing Output</t>
  </si>
  <si>
    <t>Scenario Inputs Raw</t>
  </si>
  <si>
    <t>Scenario Inputs Capacity Check 1</t>
  </si>
  <si>
    <t>Scenario Inputs Capacity Check 2</t>
  </si>
  <si>
    <t>% that is P&amp;R Model</t>
  </si>
  <si>
    <t>station type</t>
  </si>
  <si>
    <t>Racks Inside</t>
  </si>
  <si>
    <t>Racks Outside</t>
  </si>
  <si>
    <t>E Lockers</t>
  </si>
  <si>
    <t>Self Serve Bike Station</t>
  </si>
  <si>
    <t>Attended Bike Station</t>
  </si>
  <si>
    <t>Electronic Lockers</t>
  </si>
  <si>
    <t>Self Serve Bike station</t>
  </si>
  <si>
    <t>pnr/bwb</t>
  </si>
  <si>
    <t>Bicycle Investment Tool</t>
  </si>
  <si>
    <t>Step 1</t>
  </si>
  <si>
    <t>Step 2A</t>
  </si>
  <si>
    <t>Step 2B</t>
  </si>
  <si>
    <t>Step 3</t>
  </si>
  <si>
    <t>Step 4</t>
  </si>
  <si>
    <t>Bicycle Parking Investments Input</t>
  </si>
  <si>
    <t>Bicycle Parking Investments Summary</t>
  </si>
  <si>
    <t>Costs</t>
  </si>
  <si>
    <t>Overall Summary</t>
  </si>
  <si>
    <t>Bicycle Parking Investments</t>
  </si>
  <si>
    <t>Vehicle Parking</t>
  </si>
  <si>
    <t>Structure</t>
  </si>
  <si>
    <t>total riders per parking space (BART DRM)</t>
  </si>
  <si>
    <t>Estimated daily total station ridership for scenario year</t>
  </si>
  <si>
    <t>Investment Type</t>
  </si>
  <si>
    <t>Auto parking investments (structure parking)</t>
  </si>
  <si>
    <t>Daily Bicycle Access Ridership</t>
  </si>
  <si>
    <t>Cyclist Circulation Strategies</t>
  </si>
  <si>
    <t>Cost of Investments</t>
  </si>
  <si>
    <t>Capital</t>
  </si>
  <si>
    <t>Capital Costs</t>
  </si>
  <si>
    <t>Annual Operating Costs</t>
  </si>
  <si>
    <t>Investment</t>
  </si>
  <si>
    <t>Capital / space</t>
  </si>
  <si>
    <t>Annual Operating / space</t>
  </si>
  <si>
    <t>Bike Rack</t>
  </si>
  <si>
    <t>E-Locker</t>
  </si>
  <si>
    <t>Staffed Bike Station</t>
  </si>
  <si>
    <t>Capital Cost</t>
  </si>
  <si>
    <t>Annual Operating Cost</t>
  </si>
  <si>
    <t>Surface spot</t>
  </si>
  <si>
    <t>Capital+annual operating / ridership</t>
  </si>
  <si>
    <t>Scope</t>
  </si>
  <si>
    <t>Station</t>
  </si>
  <si>
    <t>Systemwide</t>
  </si>
  <si>
    <t>Population within 1/2 mile radius of station</t>
  </si>
  <si>
    <t>Keyed locker spaces</t>
  </si>
  <si>
    <t>Electronic locker spaces</t>
  </si>
  <si>
    <t>Spaces</t>
  </si>
  <si>
    <t>Inverted U</t>
  </si>
  <si>
    <t>Wave Rack</t>
  </si>
  <si>
    <t>Vertical Space Saver</t>
  </si>
  <si>
    <t>Double Decker</t>
  </si>
  <si>
    <t>Inverted U (2 bikes / unit)</t>
  </si>
  <si>
    <t>Wave Rack (7 bikes / unit)</t>
  </si>
  <si>
    <t>Vertical Space Saver (40 bikes / unit)</t>
  </si>
  <si>
    <t>Double Decker (40 bikes / unit)</t>
  </si>
  <si>
    <t>Bicycle racks outside fare gates</t>
  </si>
  <si>
    <t>Bicycle racks inside fare gates</t>
  </si>
  <si>
    <t>Units</t>
  </si>
  <si>
    <t>Investments</t>
  </si>
  <si>
    <t>Keyed lockers (2 bikes / unit)</t>
  </si>
  <si>
    <t>Electronic lockers (4 bikes / unit)</t>
  </si>
  <si>
    <t>Self serve bike station (150 bikes / unit)</t>
  </si>
  <si>
    <t>Attended bike station (150 bikes / unit)</t>
  </si>
  <si>
    <t>Bicycle cage (40 bikes / unit)</t>
  </si>
  <si>
    <t>Goal</t>
  </si>
  <si>
    <t>mode share goal</t>
  </si>
  <si>
    <t>2008 mode share</t>
  </si>
  <si>
    <t>2020 mode share goal</t>
  </si>
  <si>
    <t>Unreserved vehicle parking spaces provided at station</t>
  </si>
  <si>
    <t>Plentiful Parking Strategies</t>
  </si>
  <si>
    <t>Beyond BART Boundaries Strategies</t>
  </si>
  <si>
    <t>Bikes on BART Strategies</t>
  </si>
  <si>
    <t>Persuasive Programs Strategies</t>
  </si>
  <si>
    <t>Develop and install wayfinding signage</t>
  </si>
  <si>
    <t>Optimize routes between surrounding network and fare gates</t>
  </si>
  <si>
    <t>Revisit bicycles on escalators policy</t>
  </si>
  <si>
    <t>Provide adequate bicycle parking of each type</t>
  </si>
  <si>
    <t>Maintain bicycle facilities more frequently</t>
  </si>
  <si>
    <t>Manage eLocker demand through price variation</t>
  </si>
  <si>
    <t>Evaluate blackout periods</t>
  </si>
  <si>
    <t>Participate in more bike-to-work day events</t>
  </si>
  <si>
    <t>Bikes benefit everyone campaign</t>
  </si>
  <si>
    <t>Auto parking investments (surface parking)</t>
  </si>
  <si>
    <t>Pre-invest.</t>
  </si>
  <si>
    <t>Bicycle Parking</t>
  </si>
  <si>
    <t>Step 2A - Bicycle Parking Investments Input</t>
  </si>
  <si>
    <t>Step 2B - Bicycle Parking Investments Summary</t>
  </si>
  <si>
    <t>Step 8 - Overall Summary</t>
  </si>
  <si>
    <t>Budget</t>
  </si>
  <si>
    <t>Balance</t>
  </si>
  <si>
    <t>Self-serve bike station</t>
  </si>
  <si>
    <t>Attended bike station</t>
  </si>
  <si>
    <t>Bike cage</t>
  </si>
  <si>
    <t>Bike Parking Spaces</t>
  </si>
  <si>
    <t>1. Bicycle parking investment summary</t>
  </si>
  <si>
    <t>Daily Bike Access Ridership Increase</t>
  </si>
  <si>
    <t>2. Station-level strategies</t>
  </si>
  <si>
    <t>station raw</t>
  </si>
  <si>
    <t>system raw</t>
  </si>
  <si>
    <t>station sort1</t>
  </si>
  <si>
    <t>station sort2</t>
  </si>
  <si>
    <t>station sort3</t>
  </si>
  <si>
    <t>station sort4</t>
  </si>
  <si>
    <t>system sort2</t>
  </si>
  <si>
    <t>system sort1</t>
  </si>
  <si>
    <t>system sort4</t>
  </si>
  <si>
    <t>system sort3</t>
  </si>
  <si>
    <t>3. Systemwide-level strategies</t>
  </si>
  <si>
    <t>Pre-Investment</t>
  </si>
  <si>
    <t>Daily Bike Access Ridership</t>
  </si>
  <si>
    <t>Daily Bike Access Mode Share</t>
  </si>
  <si>
    <t>Printable</t>
  </si>
  <si>
    <t>Total Bike Access</t>
  </si>
  <si>
    <t>Step 3A</t>
  </si>
  <si>
    <t>Step 3B</t>
  </si>
  <si>
    <t>Step 3C</t>
  </si>
  <si>
    <t>Step 3D</t>
  </si>
  <si>
    <t>Step 3E</t>
  </si>
  <si>
    <t>Support Strategies</t>
  </si>
  <si>
    <t>Step 3A - Cyclist Circulation Strategies</t>
  </si>
  <si>
    <t>Step 3B - Plentiful Parking Strategies</t>
  </si>
  <si>
    <t>Step 3C - Beyond BART Boundaries Strategies</t>
  </si>
  <si>
    <t>Step 3D - Bikes on BART Strategies</t>
  </si>
  <si>
    <t>Step 3E - Persuasive Programs Strategies</t>
  </si>
  <si>
    <t>Step 2</t>
  </si>
  <si>
    <t>Follow the instructions on the following links before continuing.</t>
  </si>
  <si>
    <t>This tool has been designed for other transit operators to use.</t>
  </si>
  <si>
    <t>This tool was based on BART ridership and stated preference survey data.</t>
  </si>
  <si>
    <t>Steve Beroldo</t>
  </si>
  <si>
    <t>BART title</t>
  </si>
  <si>
    <t>Station Area Characteristics</t>
  </si>
  <si>
    <t>1. Pre-Investment Review</t>
  </si>
  <si>
    <t>2. Post-Investment Review</t>
  </si>
  <si>
    <t>Developed by Mackenzie Watten and Brooke DuBose.</t>
  </si>
  <si>
    <t>It is recommended that other transit operators validate and calibrate the tool to match their local conditions before using for official planning documents.</t>
  </si>
  <si>
    <t>Table of contents</t>
  </si>
  <si>
    <t>Disclaimers</t>
  </si>
  <si>
    <t>max mode share</t>
  </si>
  <si>
    <t>Max</t>
  </si>
  <si>
    <t>Data for graph 1.1</t>
  </si>
  <si>
    <t>Data for graph 1.2</t>
  </si>
  <si>
    <t>Data for graph 2.1</t>
  </si>
  <si>
    <t>Data for graph 2.2</t>
  </si>
  <si>
    <t>Data for graph 2.3</t>
  </si>
  <si>
    <t>#1 - racks inside</t>
  </si>
  <si>
    <t>#1 - racks outside</t>
  </si>
  <si>
    <t>#1 - keyed lockers</t>
  </si>
  <si>
    <t>#1 - elockers</t>
  </si>
  <si>
    <t>#1 - self serve bike station</t>
  </si>
  <si>
    <t>#1 - attended bike station</t>
  </si>
  <si>
    <t>#1-3 - racks inside</t>
  </si>
  <si>
    <t>#1-3 - racks outside</t>
  </si>
  <si>
    <t>#1-3 - keyed lockers</t>
  </si>
  <si>
    <t>#1-3 - elockers</t>
  </si>
  <si>
    <t>#1-3 - self serve bike station</t>
  </si>
  <si>
    <t>#1-3 - attended bike station</t>
  </si>
  <si>
    <t>Survey Ranking -&gt;</t>
  </si>
  <si>
    <t>Top 3 Preferred</t>
  </si>
  <si>
    <t>Evaluate and install stairway channels</t>
  </si>
  <si>
    <t>Install additional ADA-accessible fare gates</t>
  </si>
  <si>
    <t>Install ADA-accessible fare gates adjacent to elevators</t>
  </si>
  <si>
    <t>Evaluate and implement bicycle sharing at BART stations</t>
  </si>
  <si>
    <t>Step 3 - Support Strategies</t>
  </si>
  <si>
    <t>Provide space for bicycles in new BART cars</t>
  </si>
  <si>
    <t>Develop a folding bicycle incentive program</t>
  </si>
  <si>
    <t>Educate passengers and staff in order to encourage bicycle access</t>
  </si>
  <si>
    <t>Improve communications with BART customers on bicycle policies</t>
  </si>
  <si>
    <t>Evaluate and increase automobile parking fees</t>
  </si>
  <si>
    <t>user must input bicycle parking facilities</t>
  </si>
  <si>
    <t>Step 1A - Instructions</t>
  </si>
  <si>
    <t>Step 1B - Assumptions and Constraints</t>
  </si>
  <si>
    <t>Step 1A</t>
  </si>
  <si>
    <t>Step 1B</t>
  </si>
  <si>
    <t>Assumptions and Constraints</t>
  </si>
  <si>
    <t>Introduction</t>
  </si>
  <si>
    <t>Example:</t>
  </si>
  <si>
    <t>Station Typology</t>
  </si>
  <si>
    <t>Urban with parking</t>
  </si>
  <si>
    <t>2008 Max Mode Share</t>
  </si>
  <si>
    <t>Tool Max Mode Share</t>
  </si>
  <si>
    <t>2008 Max Station</t>
  </si>
  <si>
    <t>16th Street / Mission</t>
  </si>
  <si>
    <t>Facility Type</t>
  </si>
  <si>
    <r>
      <t>Survey Ranking</t>
    </r>
    <r>
      <rPr>
        <b/>
        <vertAlign val="superscript"/>
        <sz val="11"/>
        <color rgb="FF000000"/>
        <rFont val="Calibri"/>
        <family val="2"/>
        <scheme val="minor"/>
      </rPr>
      <t>1</t>
    </r>
  </si>
  <si>
    <t>DNE</t>
  </si>
  <si>
    <t>Self serve bike station</t>
  </si>
  <si>
    <t>Does Not Exist (DNE)</t>
  </si>
  <si>
    <t>Change in ridership with supply increase</t>
  </si>
  <si>
    <t>é</t>
  </si>
  <si>
    <t>ç</t>
  </si>
  <si>
    <t>3. Limits of relationships between bicycle parking facilities and ridership increases</t>
  </si>
  <si>
    <t>3.1 Bicycle Facility Supply Ceiling</t>
  </si>
  <si>
    <t>Individual Threshold</t>
  </si>
  <si>
    <t>Aggregate Threshold</t>
  </si>
  <si>
    <t>Electronic lockers spaces</t>
  </si>
  <si>
    <t>Rack spaces inside fare gates</t>
  </si>
  <si>
    <t>Rack spaces outside fare gates</t>
  </si>
  <si>
    <t>Bike Cages</t>
  </si>
  <si>
    <t>You must enable macros and ActiveX before using the tool.</t>
  </si>
  <si>
    <t>Note that these logic steps may sometimes result in there being NO options for the user to increase bicycle access ridership. This is desirable as the message is clear - bicycle parking facilities are not the limiting factor for these stations. Other factors should be analyzed to increase bicycle access ridership.</t>
  </si>
  <si>
    <t>Tool Implementation:</t>
  </si>
  <si>
    <t>Table 2.1 - Survey and Occupancy checks</t>
  </si>
  <si>
    <t>Table 2.2 - Survey and Occupancy checks detailed</t>
  </si>
  <si>
    <t>Mode share is calculated for each scenario as described above and presented on graph 2.3 on the "Bicycle Parking Invest. Summary" tab along with the corresponding number of bicycle access riders and total station riders.</t>
  </si>
  <si>
    <t>Graph 2.3 on the "Bicycle Parking Invest. Summary" tab graphical represents mode share, including the maximum allowed for your station.</t>
  </si>
  <si>
    <t>Input scenario information</t>
  </si>
  <si>
    <t>7. Review pre-investment station characteristics</t>
  </si>
  <si>
    <t>8. Review pre-investment conditions before selecting investments</t>
  </si>
  <si>
    <t>9. Select station investments</t>
  </si>
  <si>
    <t>10. Review post-investment conditions</t>
  </si>
  <si>
    <t>1st 25%</t>
  </si>
  <si>
    <t>2nd 25%</t>
  </si>
  <si>
    <t>3rd 25%</t>
  </si>
  <si>
    <t>4th 25%</t>
  </si>
  <si>
    <t>A station has 50 existing rack spaces outside the fare gates. The user inputs 125 rack spaces outside the fare gates to be installed for its chosen scenario.</t>
  </si>
  <si>
    <t>Table 3.1 - Bicycle Facility Supply Ceiling (units in bicycle parking spaces)</t>
  </si>
  <si>
    <t xml:space="preserve">The difference between the existing supply and the individual ceiling is 200. (Individual ceiling for rack spaces outside fare gates of 250 and 50 existing spaces) </t>
  </si>
  <si>
    <t>Scenario supply range</t>
  </si>
  <si>
    <t>0-50</t>
  </si>
  <si>
    <t>51-100</t>
  </si>
  <si>
    <t>101-150</t>
  </si>
  <si>
    <t>151-200</t>
  </si>
  <si>
    <t>Percentage of full relationship</t>
  </si>
  <si>
    <t>Table 3.3 - Diminishing Returns Setup</t>
  </si>
  <si>
    <t>Ridership increase</t>
  </si>
  <si>
    <t>Table 3.4 - Diminishing Returns Calculations</t>
  </si>
  <si>
    <t>Percentage of full relation.</t>
  </si>
  <si>
    <t>Scenario supply in range</t>
  </si>
  <si>
    <t>The calculations of bicycle access ridership increase are constrained by values in Table 3.1. All reported instances of bicycle access ridership in the tool incorporated these constraints. When inputting scenario investments, the tool will let the user know if their investments in combination with the existing supply at their station exceeds the thresholds listed in Table 3.1.</t>
  </si>
  <si>
    <t>Bicycle access ridership increases are estimated using the same calculations shown in Table 3.4.</t>
  </si>
  <si>
    <t>Survey Rank</t>
  </si>
  <si>
    <t>capacity threshold</t>
  </si>
  <si>
    <t>over capacity</t>
  </si>
  <si>
    <t>A</t>
  </si>
  <si>
    <t>B</t>
  </si>
  <si>
    <t>better avail?</t>
  </si>
  <si>
    <t>Non-DNE?</t>
  </si>
  <si>
    <t>under capac</t>
  </si>
  <si>
    <t>D</t>
  </si>
  <si>
    <t>up/down</t>
  </si>
  <si>
    <r>
      <t>Pre-Investment Peak Occupancy</t>
    </r>
    <r>
      <rPr>
        <b/>
        <vertAlign val="superscript"/>
        <sz val="11"/>
        <color rgb="FF000000"/>
        <rFont val="Calibri"/>
        <family val="2"/>
        <scheme val="minor"/>
      </rPr>
      <t>2</t>
    </r>
  </si>
  <si>
    <t>2. Use of stated preference survey and bicycle parking peak occupancy data to constrain ridership increases</t>
  </si>
  <si>
    <t>D. Investment in a facility type that does not exist in the pre-investment condition but is ranked higher than an existing pre-investment facility type WILL increase bicycle access ridership.</t>
  </si>
  <si>
    <t>Pre-Investment Peak Occupancy</t>
  </si>
  <si>
    <t>Racks outside fare gates peak occupancy</t>
  </si>
  <si>
    <t>Racks inside fare gates peak occupancy</t>
  </si>
  <si>
    <t>Keyed lockers peak occupancy</t>
  </si>
  <si>
    <t>Electronic lockers peak occupancy</t>
  </si>
  <si>
    <t>Self serve bike station peak occupancy</t>
  </si>
  <si>
    <t>Attended bike station peak occupancy</t>
  </si>
  <si>
    <t>Racks outside fare gates survey ranking</t>
  </si>
  <si>
    <t>Racks inside fare gates survey ranking</t>
  </si>
  <si>
    <t>Keyed lockers survey ranking</t>
  </si>
  <si>
    <t>Electronic lockers survey ranking</t>
  </si>
  <si>
    <t>Self serve bike station survey ranking</t>
  </si>
  <si>
    <t>Attended bike station survey ranking</t>
  </si>
  <si>
    <t>DNE/100% above</t>
  </si>
  <si>
    <t>Thresholds</t>
  </si>
  <si>
    <t>max bike access riders</t>
  </si>
  <si>
    <t>scenario output 1</t>
  </si>
  <si>
    <t>Scenario Output 3</t>
  </si>
  <si>
    <t>scenario output 2</t>
  </si>
  <si>
    <t>sum up</t>
  </si>
  <si>
    <t>Excess capacity available at existing preferred bicycle parking facilities. Increasing bicycle parking will not increase ridership.</t>
  </si>
  <si>
    <t>Occupancy Data Year</t>
  </si>
  <si>
    <t>Occupancy data year</t>
  </si>
  <si>
    <t>Occupancy data year pop</t>
  </si>
  <si>
    <t>Survey Ranking</t>
  </si>
  <si>
    <t>Table 2.2 presented on this tab is recreated for each station and scenario on the "Bicycle Parking Invest. Input" tab. If the combination of survey and occupancy data indicates that no bicycle parking investments can increase bicycle access ridership, the user will be alerted on the "Bicycle Parking Invest. Input", "Bicycyle Parking Invest. Summary", and "Overall Summary" tabs. Note that bicycle cages use the self serve bike station survey data and occupancy information.</t>
  </si>
  <si>
    <t>This tool will not work with earlier versions of Excel.</t>
  </si>
  <si>
    <t xml:space="preserve">The individual supply ceiling for rack spaces outside the fare gates is 250. If a user inputs 350 rack spaces outside the fare gates, the tool will report increase in bicycle access ridership for 250 spaces, but costs for all 350 spaces. </t>
  </si>
  <si>
    <t xml:space="preserve">The aggregate supply ceiling for locker spaces is 100. If the user inputs aggregate supply above the aggregate supply ceiling, the aggregate supply ceiling is distributed between the facilities based on the user input. If a user inputs 90 electronic locker and 30 keyed locker spaces, the tool will report increase in bicycle access ridership for 75 electronic locker and 25 keyed locker spaces, but costs for 90 electronic locker and 30 keyed locker spaces.  </t>
  </si>
  <si>
    <t>Examples:</t>
  </si>
  <si>
    <t>As a check on the tool, mode shares are prohibited from going above set ceilings. These ceilings were based on existing observed maximum of mode share. A buffer of 3 percentage points was added to each of the highest observed mode share to allow for some growth at the highest mode share stations. Table 1.2 shows the final ceilings.</t>
  </si>
  <si>
    <t>BART surveyed all types of access riders who stated their preferred bicycle parking facilities. This stated preference data was used to generate relative rankings of these facilities for each station and station typology. Please note that this is stated preference data which is prone to many biases. BART also collected bicycle parking peak occupancy data at each station at peak bicycle parking demand periods. These two pieces of data can be paired to determine if a chosen investment in a bicycle parking facility type could be reasonably expected to increase ridership.</t>
  </si>
  <si>
    <t>If a user wants to increase supply of a facility type, the following logic is used to determine whether bicycle access ridership could be expected to increase:</t>
  </si>
  <si>
    <t>1. These values are pre-populated based on BART survey data when a user selects a BART station or station typology and loads default values. It is recommended that Non-BART transit agency users edit with local data.</t>
  </si>
  <si>
    <t>Application of the logic checks reveals that only investing in attended bike stations would increase bike access ridership at this station. Please note that the "Change in ridership with supply increase" column is dynamic and will change based on the values of Survey Ranking and Pre-Investment Peak Occupancy. These values change with different BART stations and BART Station Typologies.</t>
  </si>
  <si>
    <t>The tool has established a relationship between bicycle parking facilities and ridership increases. What is not known is the limit of this relationship - how many of a bicycle facility can one add and still expect ridership increases? As a check, combined existing supply and chosen bicycle facilities investments over set thresholds will not incur any additional bicycle access ridership. These thresholds are by both individual facility type and aggregated similar facility types. The thresholds were established based on existing observed supply maximums of each facility type and best judgement.</t>
  </si>
  <si>
    <t>3.2 Increased Bicycle Parking Facilities Incur Diminishing Ridership Returns</t>
  </si>
  <si>
    <t>Table 3.2 - Increased Bicycle Parking Facilities Incur Diminishing Ridership Returns</t>
  </si>
  <si>
    <t>Supply range (the difference between existing supply and individual ceiling)</t>
  </si>
  <si>
    <t>The stations with the largest supply of a facility type had lower observed occupancy rates at the over-supplied facility type than other stations. As a conservative estimate, this tool incorporates diminishing returns for bicycle parking facilities as they approach their individual supply ceilings (see 3.1 above). As the scenario investments reach the ceiling, the ridership increase for each facility type unit decreases.</t>
  </si>
  <si>
    <t>The difference between the existing supply and the individual ceiling is then split into supply ranges for diminishing return calculations (Table 3.3).</t>
  </si>
  <si>
    <t xml:space="preserve">The user input 125 rack spaces outside the fare gates. The following calculations determine total bicycle access ridership increase including diminishing returns if we assume that the relationship between a bicycle rack space and bicycle access ridership is 1 (not the actual relationship just for demonstration). </t>
  </si>
  <si>
    <t>The total bicycle access ridership increase is calculated to be 100 with the effects of diminishing returns. The total bicycle access ridership would have been calculated to be 125 without the effects of diminishing returns.</t>
  </si>
  <si>
    <t>For best results view the tool in resolution 1280x1024 or higher.</t>
  </si>
  <si>
    <t>This tool was designed for Microsoft Excel 2007 and 2010.</t>
  </si>
  <si>
    <t>1.1 Calculation of Bicycle Access Mode Share</t>
  </si>
  <si>
    <t>1. Bicycle Access Mode Share</t>
  </si>
  <si>
    <t>Bicycle access mode share is calculated to be consistent with the BART Bicycle Plan bicycle access mode share goals. The data used to develop the tool did not indicate whether the increase in bicycle access riders would be those who already ride BART and shift modes or those entirely new to the BART system. The decision was made to assume that all new bicycle access riders would be considered new to the BART system. This is a conservative approach in terms of estimating bicycle access ridership but is not conservative in terms of estimating BART revenue. This tool is focused with the former.</t>
  </si>
  <si>
    <t>A station has 4,500 total station access riders and 225 bicycle access riders in pre-investment conditions for a bicycle access mode share of 5%.</t>
  </si>
  <si>
    <t>The tool identifies 50 new bicycle access riders due to bicycle parking investments.</t>
  </si>
  <si>
    <t>There are now 4,550 total station access riders and 275 bicycle access riders at the station for a bicycle access mode share of 6%.</t>
  </si>
  <si>
    <t>1.2 Bicycle Access Mode Share Ceiling</t>
  </si>
  <si>
    <t>Table 1.2 - Bicycle Access Mode Share Ceiling by Station Typology</t>
  </si>
  <si>
    <t>2. These values are pre-populated based on BART observed bicycle parking occupancy data when a user selects a BART station or station typology and loads default values. All users are encouraged to edit if better data is available.</t>
  </si>
  <si>
    <t>BART users may edit occupancy data, while non-BART users may edit both survey ranking and occupancy data. It is advised that non-BART users consider conducting a survey the scale of the one BART undertook to achieve similar results. Contact the project sponsors for more information.</t>
  </si>
  <si>
    <t>Lake Merrit 2012 diverse investments</t>
  </si>
  <si>
    <t>Bicycle Parking Investments for this scenario</t>
  </si>
  <si>
    <t>ROI (Capital + annual operating cost per new daily rider)</t>
  </si>
  <si>
    <t>Pre-Investment Occupancy</t>
  </si>
  <si>
    <t>dummy1</t>
  </si>
  <si>
    <t>dummy2</t>
  </si>
  <si>
    <t>Version BETA - Release date April 2012. Developed by Fehr &amp; Peers, Transportation Consultants.</t>
  </si>
  <si>
    <t>A. Investment in a facility type with a pre-investment peak occupancy under 85% will NOT increase bicycle access ridership. The pre-investment facility type is under-utilized so the adding of more of the same will not increase ridership.</t>
  </si>
  <si>
    <t>B. Investment in a facility type that does not currently exist but is ranked by the survey to be less preferrable than an existing facility type with a pre-investment peak occupancy under 85% will NOT increase bicycle access ridership. Same logic as step A - a better (according to survey) bicycle parking facility is available and has available capacity. Adding capacity of a less preferred facility type should not be expected to increase bicycle access ridership.</t>
  </si>
  <si>
    <t xml:space="preserve">C. Investment in a facility type with a pre-investment peak occupancy over 85% WILL increase bicycle access ridership regardless of survey ranking. </t>
  </si>
  <si>
    <t>A snapshot of the station reveals that there currently exist electronic lockers and racks outside the fare gates at the station. Both are under-capacity (our threshold defined at 85%) - leading us to believe that increasing their supply would not increase ridership. Attended bike stations were ranked higher than electronic lockers and deliver the message that if one were to build an attended bike station, ridership would increase.</t>
  </si>
  <si>
    <t>Parking Threshold</t>
  </si>
  <si>
    <t>Vehicle Parking costs per unit</t>
  </si>
  <si>
    <t>Bicycle Parking costs per unit</t>
  </si>
  <si>
    <t>Step 1C</t>
  </si>
  <si>
    <t>Annual Operating / unit</t>
  </si>
  <si>
    <t>Short-Term</t>
  </si>
  <si>
    <t>Long-Term</t>
  </si>
  <si>
    <t>For help in calibration and validation please contact the project sponsor:</t>
  </si>
  <si>
    <t>Bicycle Parking Facility Costs</t>
  </si>
  <si>
    <t>Step 1C - Bicycle Parking Facility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</si>
</sst>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0.0"/>
    <numFmt numFmtId="168" formatCode="&quot;$&quot;#,##0;[Red]&quot;$&quot;#,##0"/>
    <numFmt numFmtId="169" formatCode="#,##0.0"/>
  </numFmts>
  <fonts count="68" x14ac:knownFonts="1">
    <font>
      <sz val="11"/>
      <color theme="1"/>
      <name val="Calibri"/>
      <family val="2"/>
      <scheme val="minor"/>
    </font>
    <font>
      <sz val="11"/>
      <color theme="1"/>
      <name val="Calibri"/>
      <family val="2"/>
      <scheme val="minor"/>
    </font>
    <font>
      <sz val="10"/>
      <name val="Arial"/>
      <family val="2"/>
    </font>
    <font>
      <b/>
      <sz val="8"/>
      <color indexed="81"/>
      <name val="Tahoma"/>
      <family val="2"/>
    </font>
    <font>
      <sz val="8"/>
      <color indexed="81"/>
      <name val="Tahoma"/>
      <family val="2"/>
    </font>
    <font>
      <sz val="8"/>
      <name val="Arial"/>
      <family val="2"/>
    </font>
    <font>
      <u/>
      <sz val="10"/>
      <color indexed="12"/>
      <name val="Arial"/>
      <family val="2"/>
    </font>
    <font>
      <b/>
      <sz val="11"/>
      <name val="Arial"/>
      <family val="2"/>
    </font>
    <font>
      <b/>
      <sz val="9"/>
      <color rgb="FF000000"/>
      <name val="Arial"/>
      <family val="2"/>
    </font>
    <font>
      <sz val="9"/>
      <color rgb="FF000000"/>
      <name val="Arial"/>
      <family val="2"/>
    </font>
    <font>
      <sz val="8"/>
      <color rgb="FF000000"/>
      <name val="Arial"/>
      <family val="2"/>
    </font>
    <font>
      <sz val="12"/>
      <name val="新細明體"/>
      <family val="1"/>
      <charset val="136"/>
    </font>
    <font>
      <b/>
      <sz val="10"/>
      <name val="Arial"/>
      <family val="2"/>
    </font>
    <font>
      <sz val="10"/>
      <name val="Helv"/>
    </font>
    <font>
      <b/>
      <sz val="12"/>
      <name val="Arial"/>
      <family val="2"/>
    </font>
    <font>
      <b/>
      <sz val="18"/>
      <name val="Arial"/>
      <family val="2"/>
    </font>
    <font>
      <sz val="8"/>
      <name val="Tahoma"/>
      <family val="2"/>
    </font>
    <font>
      <sz val="12"/>
      <name val="Arial"/>
      <family val="2"/>
    </font>
    <font>
      <i/>
      <sz val="8"/>
      <color rgb="FF000000"/>
      <name val="Calibri"/>
      <family val="2"/>
    </font>
    <font>
      <sz val="11"/>
      <name val="Arial"/>
      <family val="2"/>
    </font>
    <font>
      <sz val="18"/>
      <name val="Arial"/>
      <family val="2"/>
    </font>
    <font>
      <b/>
      <i/>
      <sz val="12"/>
      <name val="Arial"/>
      <family val="2"/>
    </font>
    <font>
      <b/>
      <sz val="10"/>
      <color rgb="FFFF0000"/>
      <name val="Arial"/>
      <family val="2"/>
    </font>
    <font>
      <b/>
      <sz val="14"/>
      <color rgb="FF00000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theme="1"/>
      <name val="Arial"/>
      <family val="2"/>
    </font>
    <font>
      <b/>
      <sz val="10"/>
      <color indexed="81"/>
      <name val="Tahoma"/>
      <family val="2"/>
    </font>
    <font>
      <b/>
      <sz val="13"/>
      <name val="Arial"/>
      <family val="2"/>
    </font>
    <font>
      <sz val="8"/>
      <color rgb="FFFF0000"/>
      <name val="Arial"/>
      <family val="2"/>
    </font>
    <font>
      <sz val="11"/>
      <color rgb="FF00B050"/>
      <name val="Calibri"/>
      <family val="2"/>
      <scheme val="minor"/>
    </font>
    <font>
      <b/>
      <sz val="12"/>
      <color rgb="FFFF0000"/>
      <name val="Arial"/>
      <family val="2"/>
    </font>
    <font>
      <b/>
      <sz val="11"/>
      <color rgb="FF000000"/>
      <name val="Arial"/>
      <family val="2"/>
    </font>
    <font>
      <sz val="11"/>
      <color rgb="FF000000"/>
      <name val="Calibri"/>
      <family val="2"/>
      <scheme val="minor"/>
    </font>
    <font>
      <i/>
      <sz val="10"/>
      <name val="Arial"/>
      <family val="2"/>
    </font>
    <font>
      <u/>
      <sz val="11"/>
      <color theme="10"/>
      <name val="Calibri"/>
      <family val="2"/>
    </font>
    <font>
      <b/>
      <sz val="14"/>
      <color theme="1"/>
      <name val="Arial"/>
      <family val="2"/>
    </font>
    <font>
      <sz val="11"/>
      <color rgb="FFFF0000"/>
      <name val="Calibri"/>
      <family val="2"/>
      <scheme val="minor"/>
    </font>
    <font>
      <b/>
      <u/>
      <sz val="11"/>
      <color theme="10"/>
      <name val="Calibri"/>
      <family val="2"/>
    </font>
    <font>
      <b/>
      <sz val="11"/>
      <color theme="1"/>
      <name val="Calibri"/>
      <family val="2"/>
      <scheme val="minor"/>
    </font>
    <font>
      <b/>
      <sz val="11"/>
      <color rgb="FF000000"/>
      <name val="Calibri"/>
      <family val="2"/>
      <scheme val="minor"/>
    </font>
    <font>
      <b/>
      <vertAlign val="superscript"/>
      <sz val="11"/>
      <color rgb="FF000000"/>
      <name val="Calibri"/>
      <family val="2"/>
      <scheme val="minor"/>
    </font>
    <font>
      <sz val="11"/>
      <name val="Wingdings"/>
      <charset val="2"/>
    </font>
    <font>
      <sz val="11"/>
      <color rgb="FF00B050"/>
      <name val="Wingdings"/>
      <charset val="2"/>
    </font>
    <font>
      <b/>
      <i/>
      <sz val="11"/>
      <color theme="1"/>
      <name val="Calibri"/>
      <family val="2"/>
      <scheme val="minor"/>
    </font>
    <font>
      <b/>
      <sz val="11"/>
      <name val="Calibri"/>
      <family val="2"/>
      <scheme val="minor"/>
    </font>
    <font>
      <sz val="11"/>
      <name val="Calibri"/>
      <family val="2"/>
      <scheme val="minor"/>
    </font>
    <font>
      <b/>
      <sz val="14"/>
      <color rgb="FFFF0000"/>
      <name val="Arial"/>
      <family val="2"/>
    </font>
    <font>
      <b/>
      <sz val="12.5"/>
      <color rgb="FFFF0000"/>
      <name val="Arial"/>
      <family val="2"/>
    </font>
    <font>
      <b/>
      <sz val="16"/>
      <name val="Arial"/>
      <family val="2"/>
    </font>
    <font>
      <sz val="16"/>
      <name val="Arial"/>
      <family val="2"/>
    </font>
    <font>
      <sz val="10"/>
      <color theme="1"/>
      <name val="Arial"/>
      <family val="2"/>
    </font>
    <font>
      <b/>
      <sz val="10"/>
      <color theme="1"/>
      <name val="Arial"/>
      <family val="2"/>
    </font>
  </fonts>
  <fills count="47">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gradientFill degree="90">
        <stop position="0">
          <color theme="0"/>
        </stop>
        <stop position="1">
          <color theme="6" tint="-0.25098422193060094"/>
        </stop>
      </gradientFill>
    </fill>
    <fill>
      <gradientFill type="path" left="0.5" right="0.5" top="0.5" bottom="0.5">
        <stop position="0">
          <color theme="0"/>
        </stop>
        <stop position="1">
          <color theme="6" tint="0.40000610370189521"/>
        </stop>
      </gradient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7" tint="0.79998168889431442"/>
        <bgColor indexed="64"/>
      </patternFill>
    </fill>
    <fill>
      <gradientFill degree="90">
        <stop position="0">
          <color theme="0"/>
        </stop>
        <stop position="1">
          <color rgb="FFFFFF00"/>
        </stop>
      </gradientFill>
    </fill>
    <fill>
      <gradientFill degree="90">
        <stop position="0">
          <color theme="0"/>
        </stop>
        <stop position="1">
          <color rgb="FFC00000"/>
        </stop>
      </gradientFill>
    </fill>
    <fill>
      <gradientFill degree="90">
        <stop position="0">
          <color theme="0"/>
        </stop>
        <stop position="1">
          <color rgb="FF92D050"/>
        </stop>
      </gradientFill>
    </fill>
    <fill>
      <gradientFill degree="90">
        <stop position="0">
          <color theme="0"/>
        </stop>
        <stop position="1">
          <color rgb="FF00B050"/>
        </stop>
      </gradientFill>
    </fill>
    <fill>
      <gradientFill degree="90">
        <stop position="0">
          <color theme="0"/>
        </stop>
        <stop position="1">
          <color rgb="FF00B0F0"/>
        </stop>
      </gradientFill>
    </fill>
    <fill>
      <gradientFill degree="90">
        <stop position="0">
          <color theme="0"/>
        </stop>
        <stop position="1">
          <color rgb="FF0070C0"/>
        </stop>
      </gradientFill>
    </fill>
    <fill>
      <gradientFill degree="90">
        <stop position="0">
          <color theme="0"/>
        </stop>
        <stop position="1">
          <color rgb="FF7030A0"/>
        </stop>
      </gradientFill>
    </fill>
    <fill>
      <gradientFill degree="90">
        <stop position="0">
          <color theme="0"/>
        </stop>
        <stop position="1">
          <color rgb="FFFF0000"/>
        </stop>
      </gradientFill>
    </fill>
    <fill>
      <gradientFill degree="90">
        <stop position="0">
          <color theme="0"/>
        </stop>
        <stop position="1">
          <color theme="9" tint="0.40000610370189521"/>
        </stop>
      </gradientFill>
    </fill>
    <fill>
      <gradientFill degree="90">
        <stop position="0">
          <color theme="0"/>
        </stop>
        <stop position="1">
          <color theme="0" tint="-0.25098422193060094"/>
        </stop>
      </gradientFill>
    </fill>
    <fill>
      <gradientFill degree="90">
        <stop position="0">
          <color theme="0"/>
        </stop>
        <stop position="1">
          <color theme="5" tint="0.59999389629810485"/>
        </stop>
      </gradientFill>
    </fill>
    <fill>
      <gradientFill degree="90">
        <stop position="0">
          <color theme="0"/>
        </stop>
        <stop position="1">
          <color theme="5" tint="-0.25098422193060094"/>
        </stop>
      </gradientFill>
    </fill>
    <fill>
      <gradientFill degree="90">
        <stop position="0">
          <color theme="0"/>
        </stop>
        <stop position="1">
          <color theme="2" tint="-0.25098422193060094"/>
        </stop>
      </gradient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gradientFill degree="90">
        <stop position="0">
          <color theme="0"/>
        </stop>
        <stop position="1">
          <color theme="5" tint="-0.49803155613879818"/>
        </stop>
      </gradientFill>
    </fill>
  </fills>
  <borders count="9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hair">
        <color indexed="64"/>
      </top>
      <bottom style="hair">
        <color indexed="64"/>
      </bottom>
      <diagonal/>
    </border>
    <border>
      <left/>
      <right style="hair">
        <color auto="1"/>
      </right>
      <top style="hair">
        <color auto="1"/>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double">
        <color rgb="FF000000"/>
      </left>
      <right/>
      <top/>
      <bottom style="double">
        <color indexed="64"/>
      </bottom>
      <diagonal/>
    </border>
    <border>
      <left/>
      <right style="double">
        <color rgb="FF000000"/>
      </right>
      <top/>
      <bottom style="double">
        <color indexed="64"/>
      </bottom>
      <diagonal/>
    </border>
    <border>
      <left style="double">
        <color rgb="FF000000"/>
      </left>
      <right style="medium">
        <color rgb="FF000000"/>
      </right>
      <top/>
      <bottom style="thick">
        <color rgb="FF000000"/>
      </bottom>
      <diagonal/>
    </border>
    <border>
      <left/>
      <right style="double">
        <color rgb="FF000000"/>
      </right>
      <top/>
      <bottom style="thick">
        <color rgb="FF000000"/>
      </bottom>
      <diagonal/>
    </border>
    <border>
      <left style="double">
        <color rgb="FF000000"/>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top style="medium">
        <color rgb="FF000000"/>
      </top>
      <bottom style="double">
        <color rgb="FF000000"/>
      </bottom>
      <diagonal/>
    </border>
    <border>
      <left/>
      <right style="double">
        <color rgb="FF000000"/>
      </right>
      <top style="medium">
        <color rgb="FF000000"/>
      </top>
      <bottom style="double">
        <color rgb="FF000000"/>
      </bottom>
      <diagonal/>
    </border>
    <border>
      <left/>
      <right style="hair">
        <color indexed="64"/>
      </right>
      <top/>
      <bottom style="hair">
        <color auto="1"/>
      </bottom>
      <diagonal/>
    </border>
    <border>
      <left/>
      <right/>
      <top/>
      <bottom style="hair">
        <color auto="1"/>
      </bottom>
      <diagonal/>
    </border>
    <border>
      <left/>
      <right/>
      <top style="hair">
        <color indexed="64"/>
      </top>
      <bottom/>
      <diagonal/>
    </border>
    <border>
      <left/>
      <right/>
      <top/>
      <bottom style="thin">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style="hair">
        <color indexed="64"/>
      </top>
      <bottom/>
      <diagonal/>
    </border>
    <border>
      <left style="hair">
        <color indexed="64"/>
      </left>
      <right/>
      <top/>
      <bottom style="hair">
        <color indexed="64"/>
      </bottom>
      <diagonal/>
    </border>
    <border>
      <left/>
      <right/>
      <top style="thin">
        <color indexed="64"/>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style="double">
        <color rgb="FF000000"/>
      </left>
      <right style="medium">
        <color rgb="FF000000"/>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dotted">
        <color auto="1"/>
      </top>
      <bottom style="hair">
        <color auto="1"/>
      </bottom>
      <diagonal/>
    </border>
    <border>
      <left style="thin">
        <color auto="1"/>
      </left>
      <right/>
      <top style="hair">
        <color auto="1"/>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diagonal/>
    </border>
    <border>
      <left style="thin">
        <color auto="1"/>
      </left>
      <right/>
      <top/>
      <bottom style="hair">
        <color auto="1"/>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thin">
        <color auto="1"/>
      </left>
      <right/>
      <top style="thin">
        <color auto="1"/>
      </top>
      <bottom/>
      <diagonal/>
    </border>
    <border>
      <left/>
      <right style="thin">
        <color indexed="64"/>
      </right>
      <top style="thin">
        <color auto="1"/>
      </top>
      <bottom/>
      <diagonal/>
    </border>
    <border>
      <left/>
      <right style="hair">
        <color indexed="64"/>
      </right>
      <top/>
      <bottom/>
      <diagonal/>
    </border>
    <border>
      <left style="thin">
        <color indexed="64"/>
      </left>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medium">
        <color indexed="64"/>
      </right>
      <top/>
      <bottom style="hair">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033">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1" fillId="0" borderId="0">
      <alignment vertical="center"/>
    </xf>
    <xf numFmtId="43" fontId="11" fillId="0" borderId="0" applyFont="0" applyFill="0" applyBorder="0" applyAlignment="0" applyProtection="0">
      <alignment vertical="center"/>
    </xf>
    <xf numFmtId="9" fontId="11" fillId="0" borderId="0" applyFont="0" applyFill="0" applyBorder="0" applyAlignment="0" applyProtection="0">
      <alignment vertical="center"/>
    </xf>
    <xf numFmtId="43" fontId="2" fillId="0" borderId="0" applyFont="0" applyFill="0" applyBorder="0" applyAlignment="0" applyProtection="0"/>
    <xf numFmtId="39" fontId="13" fillId="0" borderId="0" applyFont="0" applyFill="0" applyBorder="0" applyAlignment="0" applyProtection="0"/>
    <xf numFmtId="7" fontId="13" fillId="0" borderId="0" applyFont="0" applyFill="0" applyBorder="0" applyAlignment="0" applyProtection="0"/>
    <xf numFmtId="0" fontId="14" fillId="0" borderId="0" applyNumberFormat="0" applyFill="0" applyBorder="0" applyAlignment="0" applyProtection="0">
      <alignment horizontal="left" vertical="center"/>
    </xf>
    <xf numFmtId="0" fontId="12" fillId="0" borderId="0" applyNumberFormat="0" applyFill="0" applyBorder="0" applyProtection="0">
      <alignment horizontal="center"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4" fillId="8"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40" applyNumberFormat="0" applyFill="0" applyAlignment="0" applyProtection="0"/>
    <xf numFmtId="0" fontId="24" fillId="6"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17" borderId="0" applyNumberFormat="0" applyBorder="0" applyAlignment="0" applyProtection="0"/>
    <xf numFmtId="0" fontId="25" fillId="23" borderId="0" applyNumberFormat="0" applyBorder="0" applyAlignment="0" applyProtection="0"/>
    <xf numFmtId="0" fontId="28" fillId="25" borderId="33" applyNumberFormat="0" applyAlignment="0" applyProtection="0"/>
    <xf numFmtId="43" fontId="2" fillId="0" borderId="0" applyFont="0" applyFill="0" applyBorder="0" applyAlignment="0" applyProtection="0"/>
    <xf numFmtId="0" fontId="29" fillId="0" borderId="0" applyNumberFormat="0" applyFill="0" applyBorder="0" applyAlignment="0" applyProtection="0"/>
    <xf numFmtId="0" fontId="31" fillId="0" borderId="34" applyNumberFormat="0" applyFill="0" applyAlignment="0" applyProtection="0"/>
    <xf numFmtId="0" fontId="33" fillId="0" borderId="36" applyNumberFormat="0" applyFill="0" applyAlignment="0" applyProtection="0"/>
    <xf numFmtId="0" fontId="34" fillId="11" borderId="32" applyNumberFormat="0" applyAlignment="0" applyProtection="0"/>
    <xf numFmtId="0" fontId="36" fillId="26" borderId="0" applyNumberFormat="0" applyBorder="0" applyAlignment="0" applyProtection="0"/>
    <xf numFmtId="0" fontId="17" fillId="27" borderId="38" applyNumberFormat="0" applyFont="0" applyAlignment="0" applyProtection="0"/>
    <xf numFmtId="0" fontId="24" fillId="6"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24" fillId="12" borderId="0" applyNumberFormat="0" applyBorder="0" applyAlignment="0" applyProtection="0"/>
    <xf numFmtId="0" fontId="25" fillId="16"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0"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26" fillId="7" borderId="0" applyNumberFormat="0" applyBorder="0" applyAlignment="0" applyProtection="0"/>
    <xf numFmtId="0" fontId="28" fillId="25" borderId="3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9" fillId="0" borderId="0" applyNumberFormat="0" applyFill="0" applyBorder="0" applyAlignment="0" applyProtection="0"/>
    <xf numFmtId="0" fontId="31" fillId="0" borderId="34" applyNumberFormat="0" applyFill="0" applyAlignment="0" applyProtection="0"/>
    <xf numFmtId="0" fontId="33" fillId="0" borderId="36" applyNumberFormat="0" applyFill="0" applyAlignment="0" applyProtection="0"/>
    <xf numFmtId="0" fontId="34" fillId="11" borderId="32" applyNumberFormat="0" applyAlignment="0" applyProtection="0"/>
    <xf numFmtId="0" fontId="36" fillId="26" borderId="0" applyNumberFormat="0" applyBorder="0" applyAlignment="0" applyProtection="0"/>
    <xf numFmtId="0" fontId="37" fillId="24" borderId="39" applyNumberFormat="0" applyAlignment="0" applyProtection="0"/>
    <xf numFmtId="0" fontId="38" fillId="0" borderId="0" applyNumberForma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0" fontId="26" fillId="7" borderId="0" applyNumberFormat="0" applyBorder="0" applyAlignment="0" applyProtection="0"/>
    <xf numFmtId="0" fontId="24" fillId="15" borderId="0" applyNumberFormat="0" applyBorder="0" applyAlignment="0" applyProtection="0"/>
    <xf numFmtId="0" fontId="24" fillId="10"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24" fillId="12" borderId="0" applyNumberFormat="0" applyBorder="0" applyAlignment="0" applyProtection="0"/>
    <xf numFmtId="0" fontId="25" fillId="16"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0" borderId="0" applyNumberFormat="0" applyBorder="0" applyAlignment="0" applyProtection="0"/>
    <xf numFmtId="0" fontId="25" fillId="22" borderId="0" applyNumberFormat="0" applyBorder="0" applyAlignment="0" applyProtection="0"/>
    <xf numFmtId="0" fontId="25" fillId="18" borderId="0" applyNumberFormat="0" applyBorder="0" applyAlignment="0" applyProtection="0"/>
    <xf numFmtId="0" fontId="12" fillId="0" borderId="0" applyNumberFormat="0" applyFill="0" applyBorder="0" applyProtection="0">
      <alignment horizontal="center"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30" fillId="8" borderId="0" applyNumberFormat="0" applyBorder="0" applyAlignment="0" applyProtection="0"/>
    <xf numFmtId="0" fontId="32" fillId="0" borderId="35" applyNumberFormat="0" applyFill="0" applyAlignment="0" applyProtection="0"/>
    <xf numFmtId="0" fontId="33" fillId="0" borderId="0" applyNumberFormat="0" applyFill="0" applyBorder="0" applyAlignment="0" applyProtection="0"/>
    <xf numFmtId="0" fontId="35" fillId="0" borderId="37" applyNumberFormat="0" applyFill="0" applyAlignment="0" applyProtection="0"/>
    <xf numFmtId="0" fontId="37" fillId="24" borderId="39" applyNumberFormat="0" applyAlignment="0" applyProtection="0"/>
    <xf numFmtId="0" fontId="24" fillId="7"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9"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17" borderId="0" applyNumberFormat="0" applyBorder="0" applyAlignment="0" applyProtection="0"/>
    <xf numFmtId="0" fontId="25" fillId="23" borderId="0" applyNumberFormat="0" applyBorder="0" applyAlignment="0" applyProtection="0"/>
    <xf numFmtId="0" fontId="27" fillId="24" borderId="3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30" fillId="8" borderId="0" applyNumberFormat="0" applyBorder="0" applyAlignment="0" applyProtection="0"/>
    <xf numFmtId="0" fontId="32" fillId="0" borderId="35" applyNumberFormat="0" applyFill="0" applyAlignment="0" applyProtection="0"/>
    <xf numFmtId="0" fontId="33" fillId="0" borderId="0" applyNumberFormat="0" applyFill="0" applyBorder="0" applyAlignment="0" applyProtection="0"/>
    <xf numFmtId="0" fontId="35" fillId="0" borderId="37" applyNumberFormat="0" applyFill="0" applyAlignment="0" applyProtection="0"/>
    <xf numFmtId="0" fontId="17" fillId="27" borderId="38" applyNumberFormat="0" applyFont="0" applyAlignment="0" applyProtection="0"/>
    <xf numFmtId="0" fontId="39" fillId="0" borderId="40" applyNumberFormat="0" applyFill="0" applyAlignment="0" applyProtection="0"/>
    <xf numFmtId="43" fontId="11" fillId="0" borderId="0" applyFont="0" applyFill="0" applyBorder="0" applyAlignment="0" applyProtection="0">
      <alignment vertical="center"/>
    </xf>
    <xf numFmtId="0" fontId="40" fillId="0" borderId="0" applyNumberFormat="0" applyFill="0" applyBorder="0" applyAlignment="0" applyProtection="0"/>
    <xf numFmtId="0" fontId="27" fillId="24" borderId="32" applyNumberFormat="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2" fillId="0" borderId="0" applyFont="0" applyFill="0" applyBorder="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alignment vertical="center"/>
    </xf>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9" fillId="0" borderId="40" applyNumberFormat="0" applyFill="0" applyAlignment="0" applyProtection="0"/>
    <xf numFmtId="0" fontId="34" fillId="11" borderId="32" applyNumberFormat="0" applyAlignment="0" applyProtection="0"/>
    <xf numFmtId="0" fontId="17" fillId="27" borderId="38" applyNumberFormat="0" applyFont="0" applyAlignment="0" applyProtection="0"/>
    <xf numFmtId="0" fontId="34" fillId="11" borderId="32" applyNumberFormat="0" applyAlignment="0" applyProtection="0"/>
    <xf numFmtId="0" fontId="37" fillId="24" borderId="39" applyNumberFormat="0" applyAlignment="0" applyProtection="0"/>
    <xf numFmtId="0" fontId="37" fillId="24" borderId="39" applyNumberFormat="0" applyAlignment="0" applyProtection="0"/>
    <xf numFmtId="0" fontId="27" fillId="24" borderId="32" applyNumberFormat="0" applyAlignment="0" applyProtection="0"/>
    <xf numFmtId="0" fontId="17" fillId="27" borderId="38" applyNumberFormat="0" applyFont="0" applyAlignment="0" applyProtection="0"/>
    <xf numFmtId="0" fontId="39" fillId="0" borderId="40" applyNumberFormat="0" applyFill="0" applyAlignment="0" applyProtection="0"/>
    <xf numFmtId="0" fontId="27" fillId="24" borderId="32" applyNumberFormat="0" applyAlignment="0" applyProtection="0"/>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9" fillId="0" borderId="40" applyNumberFormat="0" applyFill="0" applyAlignment="0" applyProtection="0"/>
    <xf numFmtId="0" fontId="34" fillId="11" borderId="32" applyNumberFormat="0" applyAlignment="0" applyProtection="0"/>
    <xf numFmtId="0" fontId="17" fillId="27" borderId="38" applyNumberFormat="0" applyFont="0" applyAlignment="0" applyProtection="0"/>
    <xf numFmtId="0" fontId="34" fillId="11" borderId="32" applyNumberFormat="0" applyAlignment="0" applyProtection="0"/>
    <xf numFmtId="0" fontId="37" fillId="24" borderId="39" applyNumberFormat="0" applyAlignment="0" applyProtection="0"/>
    <xf numFmtId="44" fontId="1" fillId="0" borderId="0" applyFont="0" applyFill="0" applyBorder="0" applyAlignment="0" applyProtection="0"/>
    <xf numFmtId="0" fontId="37" fillId="24" borderId="39" applyNumberFormat="0" applyAlignment="0" applyProtection="0"/>
    <xf numFmtId="0" fontId="27" fillId="24" borderId="32" applyNumberFormat="0" applyAlignment="0" applyProtection="0"/>
    <xf numFmtId="0" fontId="17" fillId="27" borderId="38" applyNumberFormat="0" applyFont="0" applyAlignment="0" applyProtection="0"/>
    <xf numFmtId="0" fontId="39" fillId="0" borderId="40" applyNumberFormat="0" applyFill="0" applyAlignment="0" applyProtection="0"/>
    <xf numFmtId="43" fontId="1" fillId="0" borderId="0" applyFont="0" applyFill="0" applyBorder="0" applyAlignment="0" applyProtection="0"/>
    <xf numFmtId="0" fontId="27" fillId="24" borderId="32" applyNumberFormat="0" applyAlignment="0" applyProtection="0"/>
    <xf numFmtId="0" fontId="39" fillId="0" borderId="40" applyNumberFormat="0" applyFill="0" applyAlignment="0" applyProtection="0"/>
    <xf numFmtId="0" fontId="34" fillId="11" borderId="32" applyNumberFormat="0" applyAlignment="0" applyProtection="0"/>
    <xf numFmtId="0" fontId="17" fillId="27" borderId="38" applyNumberFormat="0" applyFont="0" applyAlignment="0" applyProtection="0"/>
    <xf numFmtId="0" fontId="34" fillId="11" borderId="32" applyNumberFormat="0" applyAlignment="0" applyProtection="0"/>
    <xf numFmtId="0" fontId="37" fillId="24" borderId="39" applyNumberFormat="0" applyAlignment="0" applyProtection="0"/>
    <xf numFmtId="0" fontId="37" fillId="24" borderId="39" applyNumberFormat="0" applyAlignment="0" applyProtection="0"/>
    <xf numFmtId="0" fontId="27" fillId="24" borderId="32" applyNumberFormat="0" applyAlignment="0" applyProtection="0"/>
    <xf numFmtId="0" fontId="17" fillId="27" borderId="38" applyNumberFormat="0" applyFont="0" applyAlignment="0" applyProtection="0"/>
    <xf numFmtId="0" fontId="39" fillId="0" borderId="40" applyNumberFormat="0" applyFill="0" applyAlignment="0" applyProtection="0"/>
    <xf numFmtId="0" fontId="27" fillId="24" borderId="32" applyNumberFormat="0" applyAlignment="0" applyProtection="0"/>
    <xf numFmtId="0" fontId="27" fillId="24" borderId="48" applyNumberFormat="0" applyAlignment="0" applyProtection="0"/>
    <xf numFmtId="0" fontId="27" fillId="24" borderId="48" applyNumberFormat="0" applyAlignment="0" applyProtection="0"/>
    <xf numFmtId="0" fontId="27" fillId="24" borderId="48" applyNumberFormat="0" applyAlignment="0" applyProtection="0"/>
    <xf numFmtId="0" fontId="27" fillId="24" borderId="48" applyNumberFormat="0" applyAlignment="0" applyProtection="0"/>
    <xf numFmtId="0" fontId="27" fillId="24" borderId="48" applyNumberFormat="0" applyAlignment="0" applyProtection="0"/>
    <xf numFmtId="0" fontId="27" fillId="24" borderId="48" applyNumberFormat="0" applyAlignment="0" applyProtection="0"/>
    <xf numFmtId="0" fontId="27" fillId="24" borderId="48" applyNumberFormat="0" applyAlignment="0" applyProtection="0"/>
    <xf numFmtId="0" fontId="27" fillId="24" borderId="48" applyNumberFormat="0" applyAlignment="0" applyProtection="0"/>
    <xf numFmtId="0" fontId="34" fillId="11" borderId="48" applyNumberFormat="0" applyAlignment="0" applyProtection="0"/>
    <xf numFmtId="0" fontId="34" fillId="11" borderId="48" applyNumberFormat="0" applyAlignment="0" applyProtection="0"/>
    <xf numFmtId="0" fontId="34" fillId="11" borderId="48" applyNumberFormat="0" applyAlignment="0" applyProtection="0"/>
    <xf numFmtId="0" fontId="34" fillId="11" borderId="48" applyNumberFormat="0" applyAlignment="0" applyProtection="0"/>
    <xf numFmtId="0" fontId="34" fillId="11" borderId="48" applyNumberFormat="0" applyAlignment="0" applyProtection="0"/>
    <xf numFmtId="0" fontId="34" fillId="11" borderId="48" applyNumberFormat="0" applyAlignment="0" applyProtection="0"/>
    <xf numFmtId="0" fontId="34" fillId="11" borderId="48" applyNumberFormat="0" applyAlignment="0" applyProtection="0"/>
    <xf numFmtId="0" fontId="34" fillId="11" borderId="48" applyNumberFormat="0" applyAlignment="0" applyProtection="0"/>
    <xf numFmtId="0" fontId="17" fillId="27" borderId="49" applyNumberFormat="0" applyFont="0" applyAlignment="0" applyProtection="0"/>
    <xf numFmtId="0" fontId="17" fillId="27" borderId="49" applyNumberFormat="0" applyFont="0" applyAlignment="0" applyProtection="0"/>
    <xf numFmtId="0" fontId="17" fillId="27" borderId="49" applyNumberFormat="0" applyFont="0" applyAlignment="0" applyProtection="0"/>
    <xf numFmtId="0" fontId="17" fillId="27" borderId="49" applyNumberFormat="0" applyFont="0" applyAlignment="0" applyProtection="0"/>
    <xf numFmtId="0" fontId="17" fillId="27" borderId="49" applyNumberFormat="0" applyFont="0" applyAlignment="0" applyProtection="0"/>
    <xf numFmtId="0" fontId="17" fillId="27" borderId="49" applyNumberFormat="0" applyFont="0" applyAlignment="0" applyProtection="0"/>
    <xf numFmtId="0" fontId="17" fillId="27" borderId="49" applyNumberFormat="0" applyFont="0" applyAlignment="0" applyProtection="0"/>
    <xf numFmtId="0" fontId="17" fillId="27" borderId="49" applyNumberFormat="0" applyFont="0" applyAlignment="0" applyProtection="0"/>
    <xf numFmtId="0" fontId="37" fillId="24" borderId="50" applyNumberFormat="0" applyAlignment="0" applyProtection="0"/>
    <xf numFmtId="0" fontId="37" fillId="24" borderId="50" applyNumberFormat="0" applyAlignment="0" applyProtection="0"/>
    <xf numFmtId="0" fontId="37" fillId="24" borderId="50" applyNumberFormat="0" applyAlignment="0" applyProtection="0"/>
    <xf numFmtId="0" fontId="37" fillId="24" borderId="50" applyNumberFormat="0" applyAlignment="0" applyProtection="0"/>
    <xf numFmtId="0" fontId="37" fillId="24" borderId="50" applyNumberFormat="0" applyAlignment="0" applyProtection="0"/>
    <xf numFmtId="0" fontId="37" fillId="24" borderId="50" applyNumberFormat="0" applyAlignment="0" applyProtection="0"/>
    <xf numFmtId="0" fontId="37" fillId="24" borderId="50" applyNumberFormat="0" applyAlignment="0" applyProtection="0"/>
    <xf numFmtId="0" fontId="37" fillId="24" borderId="50" applyNumberFormat="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39" fillId="0" borderId="51" applyNumberFormat="0" applyFill="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7" fillId="24" borderId="54" applyNumberFormat="0" applyAlignment="0" applyProtection="0"/>
    <xf numFmtId="0" fontId="34" fillId="11" borderId="54" applyNumberFormat="0" applyAlignment="0" applyProtection="0"/>
    <xf numFmtId="0" fontId="37" fillId="24" borderId="56" applyNumberFormat="0" applyAlignment="0" applyProtection="0"/>
    <xf numFmtId="0" fontId="27" fillId="24" borderId="54" applyNumberForma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17" fillId="27" borderId="55" applyNumberFormat="0" applyFont="0" applyAlignment="0" applyProtection="0"/>
    <xf numFmtId="0" fontId="37" fillId="24" borderId="56" applyNumberFormat="0" applyAlignment="0" applyProtection="0"/>
    <xf numFmtId="0" fontId="39" fillId="0" borderId="57" applyNumberFormat="0" applyFill="0" applyAlignment="0" applyProtection="0"/>
    <xf numFmtId="0" fontId="37" fillId="24" borderId="56" applyNumberFormat="0" applyAlignment="0" applyProtection="0"/>
    <xf numFmtId="0" fontId="39" fillId="0" borderId="57" applyNumberFormat="0" applyFill="0" applyAlignment="0" applyProtection="0"/>
    <xf numFmtId="0" fontId="39" fillId="0" borderId="57" applyNumberFormat="0" applyFill="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37" fillId="24" borderId="56" applyNumberFormat="0" applyAlignment="0" applyProtection="0"/>
    <xf numFmtId="0" fontId="34" fillId="11" borderId="54" applyNumberFormat="0" applyAlignment="0" applyProtection="0"/>
    <xf numFmtId="0" fontId="27" fillId="24" borderId="54" applyNumberFormat="0" applyAlignment="0" applyProtection="0"/>
    <xf numFmtId="0" fontId="17" fillId="27" borderId="55" applyNumberFormat="0" applyFont="0" applyAlignment="0" applyProtection="0"/>
    <xf numFmtId="0" fontId="37" fillId="24" borderId="56" applyNumberFormat="0" applyAlignment="0" applyProtection="0"/>
    <xf numFmtId="0" fontId="34" fillId="11" borderId="54" applyNumberFormat="0" applyAlignment="0" applyProtection="0"/>
    <xf numFmtId="0" fontId="27" fillId="24" borderId="54" applyNumberFormat="0" applyAlignment="0" applyProtection="0"/>
    <xf numFmtId="0" fontId="17" fillId="27" borderId="55" applyNumberFormat="0" applyFont="0" applyAlignment="0" applyProtection="0"/>
    <xf numFmtId="0" fontId="37" fillId="24" borderId="56" applyNumberFormat="0" applyAlignment="0" applyProtection="0"/>
    <xf numFmtId="0" fontId="34" fillId="11" borderId="54" applyNumberFormat="0" applyAlignment="0" applyProtection="0"/>
    <xf numFmtId="0" fontId="39" fillId="0" borderId="57" applyNumberFormat="0" applyFill="0" applyAlignment="0" applyProtection="0"/>
    <xf numFmtId="0" fontId="37" fillId="24" borderId="56" applyNumberFormat="0" applyAlignment="0" applyProtection="0"/>
    <xf numFmtId="0" fontId="34" fillId="11" borderId="54" applyNumberFormat="0" applyAlignment="0" applyProtection="0"/>
    <xf numFmtId="0" fontId="27" fillId="24" borderId="54" applyNumberFormat="0" applyAlignment="0" applyProtection="0"/>
    <xf numFmtId="0" fontId="34" fillId="11" borderId="54" applyNumberFormat="0" applyAlignment="0" applyProtection="0"/>
    <xf numFmtId="0" fontId="17" fillId="27" borderId="55" applyNumberFormat="0" applyFont="0" applyAlignment="0" applyProtection="0"/>
    <xf numFmtId="0" fontId="27" fillId="24" borderId="54" applyNumberFormat="0" applyAlignment="0" applyProtection="0"/>
    <xf numFmtId="0" fontId="17" fillId="27" borderId="55" applyNumberFormat="0" applyFont="0" applyAlignment="0" applyProtection="0"/>
    <xf numFmtId="0" fontId="17" fillId="27" borderId="55" applyNumberFormat="0" applyFont="0" applyAlignment="0" applyProtection="0"/>
    <xf numFmtId="0" fontId="27" fillId="24" borderId="54"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37" fillId="24" borderId="56" applyNumberFormat="0" applyAlignment="0" applyProtection="0"/>
    <xf numFmtId="0" fontId="27" fillId="24" borderId="54" applyNumberFormat="0" applyAlignment="0" applyProtection="0"/>
    <xf numFmtId="0" fontId="27" fillId="24" borderId="54" applyNumberFormat="0" applyAlignment="0" applyProtection="0"/>
    <xf numFmtId="0" fontId="37" fillId="24" borderId="56" applyNumberFormat="0" applyAlignment="0" applyProtection="0"/>
    <xf numFmtId="0" fontId="34" fillId="11" borderId="54" applyNumberForma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39" fillId="0" borderId="57" applyNumberFormat="0" applyFill="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34" fillId="11"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27" fillId="24"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27" fillId="24"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17" fillId="27" borderId="55" applyNumberFormat="0" applyFont="0" applyAlignment="0" applyProtection="0"/>
    <xf numFmtId="0" fontId="27" fillId="24" borderId="54" applyNumberFormat="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7" fillId="24" borderId="54" applyNumberFormat="0" applyAlignment="0" applyProtection="0"/>
    <xf numFmtId="0" fontId="34" fillId="11" borderId="54" applyNumberForma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37" fillId="24" borderId="56" applyNumberFormat="0" applyAlignment="0" applyProtection="0"/>
    <xf numFmtId="0" fontId="37" fillId="24" borderId="56" applyNumberFormat="0" applyAlignment="0" applyProtection="0"/>
    <xf numFmtId="0" fontId="17" fillId="27" borderId="55" applyNumberFormat="0" applyFont="0" applyAlignment="0" applyProtection="0"/>
    <xf numFmtId="0" fontId="17" fillId="27" borderId="55" applyNumberFormat="0" applyFont="0" applyAlignment="0" applyProtection="0"/>
    <xf numFmtId="0" fontId="34" fillId="11" borderId="54" applyNumberFormat="0" applyAlignment="0" applyProtection="0"/>
    <xf numFmtId="0" fontId="39" fillId="0" borderId="57" applyNumberFormat="0" applyFill="0" applyAlignment="0" applyProtection="0"/>
    <xf numFmtId="0" fontId="27" fillId="24" borderId="54" applyNumberFormat="0" applyAlignment="0" applyProtection="0"/>
    <xf numFmtId="0" fontId="27" fillId="24" borderId="54" applyNumberFormat="0" applyAlignment="0" applyProtection="0"/>
    <xf numFmtId="0" fontId="37" fillId="24" borderId="56"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4" fillId="11" borderId="54" applyNumberFormat="0" applyAlignment="0" applyProtection="0"/>
    <xf numFmtId="0" fontId="39" fillId="0" borderId="57" applyNumberFormat="0" applyFill="0" applyAlignment="0" applyProtection="0"/>
    <xf numFmtId="0" fontId="34" fillId="11" borderId="54" applyNumberFormat="0" applyAlignment="0" applyProtection="0"/>
    <xf numFmtId="0" fontId="27" fillId="24" borderId="54" applyNumberFormat="0" applyAlignment="0" applyProtection="0"/>
    <xf numFmtId="0" fontId="37" fillId="24" borderId="56"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37" fillId="24" borderId="56" applyNumberFormat="0" applyAlignment="0" applyProtection="0"/>
    <xf numFmtId="0" fontId="37" fillId="24" borderId="56" applyNumberFormat="0" applyAlignment="0" applyProtection="0"/>
    <xf numFmtId="0" fontId="34" fillId="11" borderId="54" applyNumberFormat="0" applyAlignment="0" applyProtection="0"/>
    <xf numFmtId="0" fontId="17" fillId="27" borderId="55" applyNumberFormat="0" applyFont="0" applyAlignment="0" applyProtection="0"/>
    <xf numFmtId="0" fontId="27" fillId="24" borderId="54" applyNumberFormat="0" applyAlignment="0" applyProtection="0"/>
    <xf numFmtId="0" fontId="17" fillId="27" borderId="55" applyNumberFormat="0" applyFont="0" applyAlignment="0" applyProtection="0"/>
    <xf numFmtId="0" fontId="37" fillId="24" borderId="56" applyNumberFormat="0" applyAlignment="0" applyProtection="0"/>
    <xf numFmtId="0" fontId="39" fillId="0" borderId="57" applyNumberFormat="0" applyFill="0" applyAlignment="0" applyProtection="0"/>
    <xf numFmtId="0" fontId="34" fillId="11" borderId="54" applyNumberFormat="0" applyAlignment="0" applyProtection="0"/>
    <xf numFmtId="0" fontId="27" fillId="24" borderId="54" applyNumberFormat="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39" fillId="0" borderId="57" applyNumberFormat="0" applyFill="0" applyAlignment="0" applyProtection="0"/>
    <xf numFmtId="0" fontId="34" fillId="11" borderId="54" applyNumberFormat="0" applyAlignment="0" applyProtection="0"/>
    <xf numFmtId="0" fontId="17" fillId="27" borderId="55" applyNumberFormat="0" applyFont="0" applyAlignment="0" applyProtection="0"/>
    <xf numFmtId="0" fontId="34" fillId="11" borderId="54" applyNumberFormat="0" applyAlignment="0" applyProtection="0"/>
    <xf numFmtId="0" fontId="37" fillId="24" borderId="56" applyNumberFormat="0" applyAlignment="0" applyProtection="0"/>
    <xf numFmtId="0" fontId="37" fillId="24" borderId="56" applyNumberFormat="0" applyAlignment="0" applyProtection="0"/>
    <xf numFmtId="0" fontId="27" fillId="24" borderId="54" applyNumberFormat="0" applyAlignment="0" applyProtection="0"/>
    <xf numFmtId="0" fontId="17" fillId="27" borderId="55" applyNumberFormat="0" applyFont="0" applyAlignment="0" applyProtection="0"/>
    <xf numFmtId="0" fontId="39" fillId="0" borderId="57" applyNumberFormat="0" applyFill="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27" fillId="24"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34" fillId="11" borderId="54" applyNumberForma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17" fillId="27" borderId="55" applyNumberFormat="0" applyFon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7" fillId="24" borderId="56" applyNumberFormat="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50"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alignment vertical="center"/>
    </xf>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43" fontId="11" fillId="0" borderId="0" applyFont="0" applyFill="0" applyBorder="0" applyAlignment="0" applyProtection="0">
      <alignment vertical="center"/>
    </xf>
    <xf numFmtId="0" fontId="27" fillId="24" borderId="81" applyNumberFormat="0" applyAlignment="0" applyProtection="0"/>
    <xf numFmtId="43" fontId="11" fillId="0" borderId="0" applyFont="0" applyFill="0" applyBorder="0" applyAlignment="0" applyProtection="0">
      <alignment vertical="center"/>
    </xf>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27" fillId="24" borderId="81" applyNumberFormat="0" applyAlignment="0" applyProtection="0"/>
    <xf numFmtId="0" fontId="34" fillId="11" borderId="81" applyNumberFormat="0" applyAlignment="0" applyProtection="0"/>
    <xf numFmtId="0" fontId="37" fillId="24" borderId="83" applyNumberFormat="0" applyAlignment="0" applyProtection="0"/>
    <xf numFmtId="0" fontId="27" fillId="24" borderId="81" applyNumberForma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17" fillId="27" borderId="82" applyNumberFormat="0" applyFont="0" applyAlignment="0" applyProtection="0"/>
    <xf numFmtId="0" fontId="37" fillId="24" borderId="83" applyNumberFormat="0" applyAlignment="0" applyProtection="0"/>
    <xf numFmtId="0" fontId="39" fillId="0" borderId="84" applyNumberFormat="0" applyFill="0" applyAlignment="0" applyProtection="0"/>
    <xf numFmtId="0" fontId="37" fillId="24" borderId="83" applyNumberFormat="0" applyAlignment="0" applyProtection="0"/>
    <xf numFmtId="0" fontId="39" fillId="0" borderId="84" applyNumberFormat="0" applyFill="0" applyAlignment="0" applyProtection="0"/>
    <xf numFmtId="0" fontId="39" fillId="0" borderId="84" applyNumberFormat="0" applyFill="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37" fillId="24" borderId="83" applyNumberFormat="0" applyAlignment="0" applyProtection="0"/>
    <xf numFmtId="0" fontId="34" fillId="11" borderId="81" applyNumberFormat="0" applyAlignment="0" applyProtection="0"/>
    <xf numFmtId="0" fontId="27" fillId="24" borderId="81" applyNumberFormat="0" applyAlignment="0" applyProtection="0"/>
    <xf numFmtId="0" fontId="17" fillId="27" borderId="82" applyNumberFormat="0" applyFont="0" applyAlignment="0" applyProtection="0"/>
    <xf numFmtId="0" fontId="37" fillId="24" borderId="83" applyNumberFormat="0" applyAlignment="0" applyProtection="0"/>
    <xf numFmtId="0" fontId="34" fillId="11" borderId="81" applyNumberFormat="0" applyAlignment="0" applyProtection="0"/>
    <xf numFmtId="0" fontId="27" fillId="24" borderId="81" applyNumberFormat="0" applyAlignment="0" applyProtection="0"/>
    <xf numFmtId="0" fontId="17" fillId="27" borderId="82" applyNumberFormat="0" applyFont="0" applyAlignment="0" applyProtection="0"/>
    <xf numFmtId="0" fontId="37" fillId="24" borderId="83" applyNumberFormat="0" applyAlignment="0" applyProtection="0"/>
    <xf numFmtId="0" fontId="34" fillId="11" borderId="81" applyNumberFormat="0" applyAlignment="0" applyProtection="0"/>
    <xf numFmtId="0" fontId="39" fillId="0" borderId="84" applyNumberFormat="0" applyFill="0" applyAlignment="0" applyProtection="0"/>
    <xf numFmtId="0" fontId="37" fillId="24" borderId="83" applyNumberFormat="0" applyAlignment="0" applyProtection="0"/>
    <xf numFmtId="0" fontId="34" fillId="11" borderId="81" applyNumberFormat="0" applyAlignment="0" applyProtection="0"/>
    <xf numFmtId="0" fontId="27" fillId="24" borderId="81" applyNumberFormat="0" applyAlignment="0" applyProtection="0"/>
    <xf numFmtId="0" fontId="34" fillId="11" borderId="81" applyNumberFormat="0" applyAlignment="0" applyProtection="0"/>
    <xf numFmtId="0" fontId="17" fillId="27" borderId="82" applyNumberFormat="0" applyFont="0" applyAlignment="0" applyProtection="0"/>
    <xf numFmtId="0" fontId="27" fillId="24" borderId="81" applyNumberFormat="0" applyAlignment="0" applyProtection="0"/>
    <xf numFmtId="0" fontId="17" fillId="27" borderId="82" applyNumberFormat="0" applyFont="0" applyAlignment="0" applyProtection="0"/>
    <xf numFmtId="0" fontId="17" fillId="27" borderId="82" applyNumberFormat="0" applyFont="0" applyAlignment="0" applyProtection="0"/>
    <xf numFmtId="0" fontId="27" fillId="24" borderId="81"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37" fillId="24" borderId="83" applyNumberFormat="0" applyAlignment="0" applyProtection="0"/>
    <xf numFmtId="0" fontId="27" fillId="24" borderId="81" applyNumberFormat="0" applyAlignment="0" applyProtection="0"/>
    <xf numFmtId="0" fontId="27" fillId="24" borderId="81" applyNumberFormat="0" applyAlignment="0" applyProtection="0"/>
    <xf numFmtId="0" fontId="37" fillId="24" borderId="83" applyNumberFormat="0" applyAlignment="0" applyProtection="0"/>
    <xf numFmtId="0" fontId="34" fillId="11" borderId="81" applyNumberForma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39" fillId="0" borderId="84" applyNumberFormat="0" applyFill="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34" fillId="11"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27" fillId="24"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27" fillId="24"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17" fillId="27" borderId="82" applyNumberFormat="0" applyFont="0" applyAlignment="0" applyProtection="0"/>
    <xf numFmtId="0" fontId="27" fillId="24" borderId="81" applyNumberFormat="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27" fillId="24" borderId="81" applyNumberFormat="0" applyAlignment="0" applyProtection="0"/>
    <xf numFmtId="0" fontId="34" fillId="11" borderId="81" applyNumberForma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7" fillId="24" borderId="83" applyNumberFormat="0" applyAlignment="0" applyProtection="0"/>
    <xf numFmtId="0" fontId="37" fillId="24" borderId="83" applyNumberFormat="0" applyAlignment="0" applyProtection="0"/>
    <xf numFmtId="0" fontId="17" fillId="27" borderId="82" applyNumberFormat="0" applyFont="0" applyAlignment="0" applyProtection="0"/>
    <xf numFmtId="0" fontId="17" fillId="27" borderId="82" applyNumberFormat="0" applyFont="0" applyAlignment="0" applyProtection="0"/>
    <xf numFmtId="0" fontId="34" fillId="11" borderId="81" applyNumberFormat="0" applyAlignment="0" applyProtection="0"/>
    <xf numFmtId="0" fontId="39" fillId="0" borderId="84" applyNumberFormat="0" applyFill="0" applyAlignment="0" applyProtection="0"/>
    <xf numFmtId="0" fontId="27" fillId="24" borderId="81" applyNumberFormat="0" applyAlignment="0" applyProtection="0"/>
    <xf numFmtId="0" fontId="27" fillId="24" borderId="81" applyNumberFormat="0" applyAlignment="0" applyProtection="0"/>
    <xf numFmtId="0" fontId="37" fillId="24" borderId="83"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4" fillId="11"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27" fillId="24" borderId="81" applyNumberFormat="0" applyAlignment="0" applyProtection="0"/>
    <xf numFmtId="0" fontId="37" fillId="24" borderId="83"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37" fillId="24" borderId="83" applyNumberFormat="0" applyAlignment="0" applyProtection="0"/>
    <xf numFmtId="0" fontId="37" fillId="24" borderId="83" applyNumberFormat="0" applyAlignment="0" applyProtection="0"/>
    <xf numFmtId="0" fontId="34" fillId="11" borderId="81" applyNumberFormat="0" applyAlignment="0" applyProtection="0"/>
    <xf numFmtId="0" fontId="17" fillId="27" borderId="82" applyNumberFormat="0" applyFont="0" applyAlignment="0" applyProtection="0"/>
    <xf numFmtId="0" fontId="27" fillId="24" borderId="81" applyNumberFormat="0" applyAlignment="0" applyProtection="0"/>
    <xf numFmtId="0" fontId="17" fillId="27" borderId="82" applyNumberFormat="0" applyFont="0" applyAlignment="0" applyProtection="0"/>
    <xf numFmtId="0" fontId="37" fillId="24" borderId="83" applyNumberFormat="0" applyAlignment="0" applyProtection="0"/>
    <xf numFmtId="0" fontId="39" fillId="0" borderId="84" applyNumberFormat="0" applyFill="0" applyAlignment="0" applyProtection="0"/>
    <xf numFmtId="0" fontId="34" fillId="11" borderId="81" applyNumberFormat="0" applyAlignment="0" applyProtection="0"/>
    <xf numFmtId="0" fontId="27" fillId="24" borderId="81" applyNumberFormat="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39" fillId="0" borderId="84" applyNumberFormat="0" applyFill="0" applyAlignment="0" applyProtection="0"/>
    <xf numFmtId="0" fontId="34" fillId="11" borderId="81" applyNumberFormat="0" applyAlignment="0" applyProtection="0"/>
    <xf numFmtId="0" fontId="17" fillId="27" borderId="82" applyNumberFormat="0" applyFont="0" applyAlignment="0" applyProtection="0"/>
    <xf numFmtId="0" fontId="34" fillId="11" borderId="81" applyNumberFormat="0" applyAlignment="0" applyProtection="0"/>
    <xf numFmtId="0" fontId="37" fillId="24" borderId="83" applyNumberFormat="0" applyAlignment="0" applyProtection="0"/>
    <xf numFmtId="0" fontId="37" fillId="24" borderId="83" applyNumberFormat="0" applyAlignment="0" applyProtection="0"/>
    <xf numFmtId="0" fontId="27" fillId="24" borderId="81" applyNumberFormat="0" applyAlignment="0" applyProtection="0"/>
    <xf numFmtId="0" fontId="17" fillId="27" borderId="82" applyNumberFormat="0" applyFont="0" applyAlignment="0" applyProtection="0"/>
    <xf numFmtId="0" fontId="39" fillId="0" borderId="84" applyNumberFormat="0" applyFill="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27" fillId="24"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34" fillId="11" borderId="81" applyNumberForma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17" fillId="27" borderId="82" applyNumberFormat="0" applyFon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7" fillId="24" borderId="83" applyNumberFormat="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0" fontId="39" fillId="0" borderId="84" applyNumberFormat="0" applyFill="0" applyAlignment="0" applyProtection="0"/>
    <xf numFmtId="44" fontId="1" fillId="0" borderId="0" applyFont="0" applyFill="0" applyBorder="0" applyAlignment="0" applyProtection="0"/>
  </cellStyleXfs>
  <cellXfs count="742">
    <xf numFmtId="0" fontId="0" fillId="0" borderId="0" xfId="0"/>
    <xf numFmtId="1" fontId="0" fillId="0" borderId="0" xfId="0" applyNumberFormat="1"/>
    <xf numFmtId="0" fontId="5" fillId="2" borderId="0" xfId="9" applyFont="1" applyFill="1" applyBorder="1" applyAlignment="1" applyProtection="1">
      <alignment horizontal="left" vertical="center" wrapText="1" indent="1"/>
    </xf>
    <xf numFmtId="0" fontId="8" fillId="0" borderId="16" xfId="0" applyFont="1" applyBorder="1" applyAlignment="1" applyProtection="1">
      <alignment horizontal="center" vertical="top" wrapText="1"/>
    </xf>
    <xf numFmtId="0" fontId="8" fillId="0" borderId="17" xfId="0" applyFont="1" applyBorder="1" applyAlignment="1" applyProtection="1">
      <alignment horizontal="center" vertical="top" wrapText="1"/>
    </xf>
    <xf numFmtId="0" fontId="9" fillId="0" borderId="16" xfId="0" applyFont="1" applyBorder="1" applyAlignment="1" applyProtection="1">
      <alignment horizontal="center" vertical="top" wrapText="1"/>
    </xf>
    <xf numFmtId="0" fontId="9" fillId="0" borderId="18" xfId="0" applyFont="1" applyBorder="1" applyAlignment="1" applyProtection="1">
      <alignment horizontal="center" vertical="top" wrapText="1"/>
    </xf>
    <xf numFmtId="0" fontId="9" fillId="0" borderId="19" xfId="0" applyFont="1" applyBorder="1" applyAlignment="1" applyProtection="1">
      <alignment horizontal="center" vertical="top" wrapText="1"/>
    </xf>
    <xf numFmtId="9" fontId="5" fillId="2" borderId="0" xfId="2" applyFont="1" applyFill="1" applyBorder="1" applyAlignment="1" applyProtection="1">
      <alignment horizontal="left" vertical="center" wrapText="1" indent="1"/>
    </xf>
    <xf numFmtId="9" fontId="5" fillId="2" borderId="0" xfId="9" applyNumberFormat="1" applyFont="1" applyFill="1" applyBorder="1" applyAlignment="1" applyProtection="1">
      <alignment horizontal="left" vertical="center" wrapText="1" indent="1"/>
    </xf>
    <xf numFmtId="3" fontId="5" fillId="2" borderId="0" xfId="9" applyNumberFormat="1" applyFont="1" applyFill="1" applyBorder="1" applyAlignment="1" applyProtection="1">
      <alignment horizontal="left" vertical="center" wrapText="1" indent="1"/>
    </xf>
    <xf numFmtId="0" fontId="7" fillId="2" borderId="0" xfId="9" applyFont="1" applyFill="1" applyBorder="1" applyAlignment="1" applyProtection="1">
      <alignment horizontal="left" vertical="center"/>
    </xf>
    <xf numFmtId="0" fontId="5" fillId="2" borderId="0" xfId="9" applyFont="1" applyFill="1" applyBorder="1" applyAlignment="1" applyProtection="1">
      <alignment horizontal="left" vertical="center"/>
    </xf>
    <xf numFmtId="0" fontId="5" fillId="2" borderId="0" xfId="9" applyFont="1" applyFill="1" applyBorder="1" applyAlignment="1" applyProtection="1">
      <alignment horizontal="left" vertical="center" indent="1"/>
    </xf>
    <xf numFmtId="0" fontId="14" fillId="2" borderId="29" xfId="9" applyFont="1" applyFill="1" applyBorder="1" applyAlignment="1">
      <alignment horizontal="left" vertical="center" wrapText="1"/>
    </xf>
    <xf numFmtId="0" fontId="19" fillId="2" borderId="7" xfId="9" applyFont="1" applyFill="1" applyBorder="1" applyAlignment="1">
      <alignment horizontal="left" indent="1"/>
    </xf>
    <xf numFmtId="0" fontId="22" fillId="2" borderId="0" xfId="9" applyFont="1" applyFill="1" applyBorder="1"/>
    <xf numFmtId="0" fontId="2" fillId="0" borderId="0" xfId="9"/>
    <xf numFmtId="0" fontId="2" fillId="0" borderId="0" xfId="9" applyFill="1"/>
    <xf numFmtId="0" fontId="17" fillId="0" borderId="0" xfId="9" applyFont="1"/>
    <xf numFmtId="0" fontId="17" fillId="0" borderId="0" xfId="9" applyFont="1" applyAlignment="1">
      <alignment horizontal="center"/>
    </xf>
    <xf numFmtId="0" fontId="17" fillId="2" borderId="0" xfId="9" applyFont="1" applyFill="1" applyBorder="1"/>
    <xf numFmtId="4" fontId="17" fillId="2" borderId="0" xfId="9" applyNumberFormat="1" applyFont="1" applyFill="1" applyBorder="1"/>
    <xf numFmtId="0" fontId="2" fillId="2" borderId="9" xfId="9" applyFill="1" applyBorder="1"/>
    <xf numFmtId="0" fontId="17" fillId="2" borderId="0" xfId="9" applyFont="1" applyFill="1" applyBorder="1" applyAlignment="1">
      <alignment horizontal="center"/>
    </xf>
    <xf numFmtId="0" fontId="2" fillId="2" borderId="0" xfId="9" applyFill="1" applyBorder="1"/>
    <xf numFmtId="0" fontId="2" fillId="2" borderId="10" xfId="9" applyFill="1" applyBorder="1"/>
    <xf numFmtId="0" fontId="2" fillId="2" borderId="11" xfId="9" applyFill="1" applyBorder="1"/>
    <xf numFmtId="0" fontId="2" fillId="2" borderId="12" xfId="9" applyFill="1" applyBorder="1"/>
    <xf numFmtId="0" fontId="17" fillId="2" borderId="0" xfId="9" applyFont="1" applyFill="1" applyBorder="1" applyAlignment="1" applyProtection="1">
      <alignment horizontal="right" indent="2"/>
    </xf>
    <xf numFmtId="0" fontId="17" fillId="2" borderId="26" xfId="9" applyNumberFormat="1" applyFont="1" applyFill="1" applyBorder="1" applyAlignment="1">
      <alignment vertical="center" wrapText="1"/>
    </xf>
    <xf numFmtId="0" fontId="17" fillId="2" borderId="0" xfId="9" applyNumberFormat="1" applyFont="1" applyFill="1" applyBorder="1" applyAlignment="1">
      <alignment vertical="center" wrapText="1"/>
    </xf>
    <xf numFmtId="4" fontId="17" fillId="3" borderId="1" xfId="9" applyNumberFormat="1" applyFont="1" applyFill="1" applyBorder="1" applyAlignment="1">
      <alignment horizontal="center"/>
    </xf>
    <xf numFmtId="1" fontId="17" fillId="3" borderId="1" xfId="9" applyNumberFormat="1" applyFont="1" applyFill="1" applyBorder="1" applyAlignment="1">
      <alignment horizontal="center"/>
    </xf>
    <xf numFmtId="0" fontId="17" fillId="2" borderId="26" xfId="9" applyFont="1" applyFill="1" applyBorder="1"/>
    <xf numFmtId="0" fontId="2" fillId="0" borderId="0" xfId="9"/>
    <xf numFmtId="0" fontId="2" fillId="0" borderId="0" xfId="9" applyFill="1"/>
    <xf numFmtId="3" fontId="17" fillId="3" borderId="1" xfId="9" applyNumberFormat="1" applyFont="1" applyFill="1" applyBorder="1" applyAlignment="1">
      <alignment horizontal="center"/>
    </xf>
    <xf numFmtId="0" fontId="17" fillId="2" borderId="0" xfId="9" applyFont="1" applyFill="1" applyBorder="1"/>
    <xf numFmtId="0" fontId="2" fillId="2" borderId="0" xfId="9" applyFill="1" applyBorder="1"/>
    <xf numFmtId="0" fontId="2" fillId="2" borderId="13" xfId="9" applyFill="1" applyBorder="1"/>
    <xf numFmtId="0" fontId="18" fillId="2" borderId="0" xfId="9" applyFont="1" applyFill="1" applyBorder="1" applyAlignment="1">
      <alignment horizontal="center"/>
    </xf>
    <xf numFmtId="0" fontId="14" fillId="2" borderId="0" xfId="9" applyFont="1" applyFill="1" applyBorder="1" applyAlignment="1">
      <alignment horizontal="left" vertical="center"/>
    </xf>
    <xf numFmtId="0" fontId="17" fillId="2" borderId="0" xfId="9" applyFont="1" applyFill="1" applyBorder="1" applyAlignment="1" applyProtection="1">
      <alignment horizontal="right" indent="2"/>
    </xf>
    <xf numFmtId="3" fontId="17" fillId="3" borderId="6" xfId="9" applyNumberFormat="1" applyFont="1" applyFill="1" applyBorder="1" applyAlignment="1">
      <alignment horizontal="center" vertical="center"/>
    </xf>
    <xf numFmtId="0" fontId="5" fillId="0" borderId="0" xfId="301" applyFont="1">
      <alignment vertical="center"/>
    </xf>
    <xf numFmtId="0" fontId="5" fillId="0" borderId="0" xfId="301" applyFont="1" applyAlignment="1">
      <alignment vertical="center" wrapText="1"/>
    </xf>
    <xf numFmtId="2" fontId="5" fillId="0" borderId="0" xfId="301" applyNumberFormat="1" applyFont="1" applyAlignment="1">
      <alignment horizontal="center" vertical="center"/>
    </xf>
    <xf numFmtId="0" fontId="5" fillId="0" borderId="0" xfId="301" applyFont="1" applyFill="1" applyAlignment="1">
      <alignment vertical="center" wrapText="1"/>
    </xf>
    <xf numFmtId="3" fontId="5" fillId="0" borderId="0" xfId="301" applyNumberFormat="1" applyFont="1" applyAlignment="1">
      <alignment horizontal="center" vertical="center"/>
    </xf>
    <xf numFmtId="0" fontId="8" fillId="0" borderId="14" xfId="0" applyFont="1" applyBorder="1" applyAlignment="1" applyProtection="1">
      <alignment horizontal="center" vertical="top" wrapText="1"/>
    </xf>
    <xf numFmtId="0" fontId="8" fillId="0" borderId="15" xfId="0" applyFont="1" applyBorder="1" applyAlignment="1" applyProtection="1">
      <alignment horizontal="center" vertical="top" wrapText="1"/>
    </xf>
    <xf numFmtId="0" fontId="10" fillId="0" borderId="20" xfId="0" applyFont="1" applyBorder="1" applyAlignment="1" applyProtection="1">
      <alignment horizontal="justify" vertical="top" wrapText="1"/>
    </xf>
    <xf numFmtId="0" fontId="10" fillId="0" borderId="21" xfId="0" applyFont="1" applyBorder="1" applyAlignment="1" applyProtection="1">
      <alignment horizontal="justify" vertical="top" wrapText="1"/>
    </xf>
    <xf numFmtId="0" fontId="19" fillId="2" borderId="24" xfId="9" applyFont="1" applyFill="1" applyBorder="1" applyAlignment="1">
      <alignment horizontal="left" indent="1"/>
    </xf>
    <xf numFmtId="0" fontId="19" fillId="2" borderId="0" xfId="9" applyFont="1" applyFill="1" applyBorder="1" applyAlignment="1">
      <alignment horizontal="left" indent="1"/>
    </xf>
    <xf numFmtId="3" fontId="5" fillId="0" borderId="0" xfId="9" applyNumberFormat="1" applyFont="1" applyFill="1" applyBorder="1" applyAlignment="1">
      <alignment horizontal="center" vertical="center"/>
    </xf>
    <xf numFmtId="0" fontId="41" fillId="0" borderId="0" xfId="0" applyFont="1" applyBorder="1"/>
    <xf numFmtId="3" fontId="5" fillId="0" borderId="43" xfId="9" applyNumberFormat="1" applyFont="1" applyFill="1" applyBorder="1" applyAlignment="1">
      <alignment horizontal="right"/>
    </xf>
    <xf numFmtId="1" fontId="5" fillId="0" borderId="0" xfId="9" applyNumberFormat="1" applyFont="1" applyBorder="1"/>
    <xf numFmtId="3" fontId="5" fillId="0" borderId="0" xfId="9" applyNumberFormat="1" applyFont="1" applyFill="1" applyBorder="1" applyAlignment="1">
      <alignment horizontal="right"/>
    </xf>
    <xf numFmtId="0" fontId="14" fillId="2" borderId="44" xfId="9" applyFont="1" applyFill="1" applyBorder="1" applyAlignment="1">
      <alignment horizontal="center" vertical="center"/>
    </xf>
    <xf numFmtId="2" fontId="5" fillId="0" borderId="0" xfId="301" applyNumberFormat="1" applyFont="1" applyFill="1" applyAlignment="1">
      <alignment horizontal="center" vertical="center"/>
    </xf>
    <xf numFmtId="3" fontId="5" fillId="28" borderId="0" xfId="301" applyNumberFormat="1" applyFont="1" applyFill="1" applyAlignment="1">
      <alignment horizontal="center" vertical="center"/>
    </xf>
    <xf numFmtId="3" fontId="5" fillId="0" borderId="0" xfId="301" applyNumberFormat="1" applyFont="1" applyBorder="1" applyAlignment="1">
      <alignment horizontal="center" vertical="center"/>
    </xf>
    <xf numFmtId="0" fontId="2" fillId="0" borderId="0" xfId="9"/>
    <xf numFmtId="0" fontId="2" fillId="0" borderId="0" xfId="9" applyFill="1"/>
    <xf numFmtId="0" fontId="12" fillId="0" borderId="0" xfId="9" applyFont="1" applyFill="1"/>
    <xf numFmtId="0" fontId="14" fillId="2" borderId="0" xfId="9" applyFont="1" applyFill="1" applyBorder="1" applyAlignment="1">
      <alignment horizontal="center" vertical="center" wrapText="1"/>
    </xf>
    <xf numFmtId="0" fontId="21" fillId="2" borderId="44" xfId="9" applyFont="1" applyFill="1" applyBorder="1" applyAlignment="1">
      <alignment horizontal="center" vertical="center"/>
    </xf>
    <xf numFmtId="0" fontId="21" fillId="2" borderId="45" xfId="9" applyFont="1" applyFill="1" applyBorder="1" applyAlignment="1">
      <alignment horizontal="center" vertical="center"/>
    </xf>
    <xf numFmtId="3" fontId="5" fillId="0" borderId="0" xfId="301" applyNumberFormat="1" applyFont="1" applyFill="1" applyAlignment="1">
      <alignment horizontal="center" vertical="center"/>
    </xf>
    <xf numFmtId="0" fontId="2" fillId="0" borderId="0" xfId="9"/>
    <xf numFmtId="0" fontId="2" fillId="0" borderId="0" xfId="9" applyFill="1"/>
    <xf numFmtId="0" fontId="5" fillId="0" borderId="0" xfId="301" applyFont="1">
      <alignment vertical="center"/>
    </xf>
    <xf numFmtId="0" fontId="2" fillId="2" borderId="2" xfId="9" applyFill="1" applyBorder="1"/>
    <xf numFmtId="0" fontId="9" fillId="0" borderId="46" xfId="0" applyFont="1" applyFill="1" applyBorder="1" applyAlignment="1" applyProtection="1">
      <alignment horizontal="center" vertical="top" wrapText="1"/>
    </xf>
    <xf numFmtId="0" fontId="0" fillId="0" borderId="0" xfId="0" applyAlignment="1">
      <alignment wrapText="1"/>
    </xf>
    <xf numFmtId="3" fontId="0" fillId="0" borderId="0" xfId="0" applyNumberFormat="1"/>
    <xf numFmtId="4" fontId="0" fillId="0" borderId="0" xfId="0" applyNumberFormat="1"/>
    <xf numFmtId="2" fontId="5" fillId="0" borderId="0" xfId="301" applyNumberFormat="1" applyFont="1">
      <alignment vertical="center"/>
    </xf>
    <xf numFmtId="0" fontId="9" fillId="0" borderId="0" xfId="0" applyFont="1" applyFill="1" applyBorder="1" applyAlignment="1" applyProtection="1">
      <alignment horizontal="center" vertical="top" wrapText="1"/>
    </xf>
    <xf numFmtId="2" fontId="5" fillId="0" borderId="0" xfId="301" applyNumberFormat="1" applyFont="1">
      <alignment vertical="center"/>
    </xf>
    <xf numFmtId="2" fontId="5" fillId="0" borderId="0" xfId="301" applyNumberFormat="1" applyFont="1" applyFill="1">
      <alignment vertical="center"/>
    </xf>
    <xf numFmtId="9" fontId="0" fillId="0" borderId="0" xfId="2" applyFont="1"/>
    <xf numFmtId="2" fontId="5" fillId="0" borderId="0" xfId="301" applyNumberFormat="1" applyFont="1">
      <alignment vertical="center"/>
    </xf>
    <xf numFmtId="0" fontId="5" fillId="0" borderId="0" xfId="301" applyFont="1">
      <alignment vertical="center"/>
    </xf>
    <xf numFmtId="164" fontId="17" fillId="3" borderId="47" xfId="9" applyNumberFormat="1" applyFont="1" applyFill="1" applyBorder="1" applyAlignment="1">
      <alignment horizontal="center" vertical="center"/>
    </xf>
    <xf numFmtId="44" fontId="0" fillId="0" borderId="0" xfId="0" applyNumberFormat="1"/>
    <xf numFmtId="0" fontId="0" fillId="0" borderId="0" xfId="0"/>
    <xf numFmtId="0" fontId="46" fillId="2" borderId="0" xfId="9" applyFont="1" applyFill="1" applyBorder="1" applyAlignment="1">
      <alignment horizontal="left" vertical="center"/>
    </xf>
    <xf numFmtId="0" fontId="0" fillId="0" borderId="0" xfId="0"/>
    <xf numFmtId="44" fontId="0" fillId="0" borderId="0" xfId="1" applyFont="1"/>
    <xf numFmtId="0" fontId="0" fillId="0" borderId="0" xfId="0" applyFill="1"/>
    <xf numFmtId="0" fontId="0" fillId="0" borderId="0" xfId="0"/>
    <xf numFmtId="44" fontId="0" fillId="0" borderId="0" xfId="1" applyFont="1"/>
    <xf numFmtId="0" fontId="14" fillId="2" borderId="1" xfId="9" applyFont="1" applyFill="1" applyBorder="1" applyAlignment="1">
      <alignment horizontal="center" vertical="center" wrapText="1"/>
    </xf>
    <xf numFmtId="0" fontId="0" fillId="0" borderId="0" xfId="0"/>
    <xf numFmtId="44" fontId="0" fillId="0" borderId="0" xfId="0" applyNumberFormat="1"/>
    <xf numFmtId="3" fontId="0" fillId="0" borderId="0" xfId="0" applyNumberFormat="1"/>
    <xf numFmtId="0" fontId="0" fillId="0" borderId="0" xfId="0" applyAlignment="1">
      <alignment horizontal="right"/>
    </xf>
    <xf numFmtId="5" fontId="17" fillId="2" borderId="1" xfId="9" applyNumberFormat="1" applyFont="1" applyFill="1" applyBorder="1" applyAlignment="1">
      <alignment horizontal="center" vertical="center" wrapText="1"/>
    </xf>
    <xf numFmtId="0" fontId="17" fillId="2" borderId="25" xfId="9" applyFont="1" applyFill="1" applyBorder="1" applyAlignment="1">
      <alignment horizontal="center"/>
    </xf>
    <xf numFmtId="0" fontId="17" fillId="2" borderId="4" xfId="9" applyFont="1" applyFill="1" applyBorder="1"/>
    <xf numFmtId="166" fontId="2" fillId="0" borderId="0" xfId="40" applyNumberFormat="1" applyFont="1"/>
    <xf numFmtId="166" fontId="0" fillId="0" borderId="0" xfId="2" applyNumberFormat="1" applyFont="1"/>
    <xf numFmtId="166" fontId="2" fillId="0" borderId="0" xfId="40" applyNumberFormat="1" applyFont="1"/>
    <xf numFmtId="166" fontId="2" fillId="0" borderId="0" xfId="9" applyNumberFormat="1"/>
    <xf numFmtId="167" fontId="0" fillId="28" borderId="0" xfId="0" applyNumberFormat="1" applyFill="1"/>
    <xf numFmtId="167" fontId="17" fillId="3" borderId="6" xfId="9" applyNumberFormat="1" applyFont="1" applyFill="1" applyBorder="1" applyAlignment="1">
      <alignment horizontal="center" vertical="center"/>
    </xf>
    <xf numFmtId="0" fontId="17" fillId="2" borderId="58" xfId="9" applyFont="1" applyFill="1" applyBorder="1"/>
    <xf numFmtId="0" fontId="2" fillId="2" borderId="7" xfId="9" applyFill="1" applyBorder="1"/>
    <xf numFmtId="0" fontId="17" fillId="2" borderId="2" xfId="9" applyFont="1" applyFill="1" applyBorder="1"/>
    <xf numFmtId="0" fontId="19" fillId="2" borderId="2" xfId="9" applyFont="1" applyFill="1" applyBorder="1" applyAlignment="1">
      <alignment horizontal="right" vertical="center"/>
    </xf>
    <xf numFmtId="0" fontId="19" fillId="2" borderId="3" xfId="9" applyFont="1" applyFill="1" applyBorder="1" applyAlignment="1">
      <alignment horizontal="left" vertical="center"/>
    </xf>
    <xf numFmtId="3" fontId="17" fillId="29" borderId="1" xfId="9" applyNumberFormat="1" applyFont="1" applyFill="1" applyBorder="1" applyAlignment="1">
      <alignment horizontal="center" vertical="center"/>
    </xf>
    <xf numFmtId="0" fontId="7" fillId="2" borderId="1" xfId="9" applyFont="1" applyFill="1" applyBorder="1" applyAlignment="1">
      <alignment horizontal="right" vertical="center"/>
    </xf>
    <xf numFmtId="0" fontId="7" fillId="2" borderId="1" xfId="9" applyFont="1" applyFill="1" applyBorder="1" applyAlignment="1">
      <alignment horizontal="center" vertical="center"/>
    </xf>
    <xf numFmtId="166" fontId="5" fillId="2" borderId="0" xfId="2" applyNumberFormat="1" applyFont="1" applyFill="1" applyBorder="1" applyAlignment="1" applyProtection="1">
      <alignment horizontal="left" vertical="center" wrapText="1" indent="1"/>
    </xf>
    <xf numFmtId="166" fontId="5" fillId="2" borderId="0" xfId="9" applyNumberFormat="1" applyFont="1" applyFill="1" applyBorder="1" applyAlignment="1" applyProtection="1">
      <alignment horizontal="left" vertical="center" wrapText="1" indent="1"/>
    </xf>
    <xf numFmtId="0" fontId="5" fillId="2" borderId="26" xfId="9" applyFont="1" applyFill="1" applyBorder="1" applyAlignment="1" applyProtection="1">
      <alignment horizontal="left" vertical="center" wrapText="1" indent="1"/>
    </xf>
    <xf numFmtId="0" fontId="5" fillId="2" borderId="64" xfId="9" applyFont="1" applyFill="1" applyBorder="1" applyAlignment="1" applyProtection="1">
      <alignment horizontal="left" vertical="center" wrapText="1" indent="1"/>
    </xf>
    <xf numFmtId="0" fontId="14" fillId="2" borderId="26" xfId="9" applyFont="1" applyFill="1" applyBorder="1" applyAlignment="1">
      <alignment horizontal="center" vertical="center" wrapText="1"/>
    </xf>
    <xf numFmtId="0" fontId="14" fillId="2" borderId="64" xfId="9" applyFont="1" applyFill="1" applyBorder="1" applyAlignment="1">
      <alignment horizontal="center" vertical="center" wrapText="1"/>
    </xf>
    <xf numFmtId="0" fontId="5" fillId="2" borderId="26" xfId="9" applyFont="1" applyFill="1" applyBorder="1" applyAlignment="1" applyProtection="1">
      <alignment horizontal="left" vertical="center" indent="1"/>
    </xf>
    <xf numFmtId="0" fontId="5" fillId="2" borderId="63" xfId="9" applyFont="1" applyFill="1" applyBorder="1" applyAlignment="1" applyProtection="1">
      <alignment horizontal="left" vertical="center" wrapText="1" indent="1"/>
    </xf>
    <xf numFmtId="0" fontId="5" fillId="2" borderId="25" xfId="9" applyFont="1" applyFill="1" applyBorder="1" applyAlignment="1" applyProtection="1">
      <alignment horizontal="left" vertical="center" wrapText="1" indent="1"/>
    </xf>
    <xf numFmtId="0" fontId="5" fillId="2" borderId="4" xfId="9" applyFont="1" applyFill="1" applyBorder="1" applyAlignment="1" applyProtection="1">
      <alignment horizontal="left" vertical="center" wrapText="1" indent="1"/>
    </xf>
    <xf numFmtId="0" fontId="5" fillId="2" borderId="23" xfId="9" applyFont="1" applyFill="1" applyBorder="1" applyAlignment="1" applyProtection="1">
      <alignment horizontal="left" vertical="center" wrapText="1" indent="1"/>
    </xf>
    <xf numFmtId="0" fontId="5" fillId="2" borderId="61" xfId="9" applyFont="1" applyFill="1" applyBorder="1" applyAlignment="1" applyProtection="1">
      <alignment horizontal="left" vertical="center" wrapText="1" indent="1"/>
    </xf>
    <xf numFmtId="0" fontId="5" fillId="2" borderId="65" xfId="9" applyFont="1" applyFill="1" applyBorder="1" applyAlignment="1" applyProtection="1">
      <alignment horizontal="left" vertical="center" wrapText="1" indent="1"/>
    </xf>
    <xf numFmtId="0" fontId="5" fillId="2" borderId="31" xfId="9" applyFont="1" applyFill="1" applyBorder="1" applyAlignment="1" applyProtection="1">
      <alignment horizontal="left" vertical="center" wrapText="1" indent="1"/>
    </xf>
    <xf numFmtId="0" fontId="5" fillId="2" borderId="60" xfId="9" applyFont="1" applyFill="1" applyBorder="1" applyAlignment="1" applyProtection="1">
      <alignment horizontal="left" vertical="center" wrapText="1" indent="1"/>
    </xf>
    <xf numFmtId="0" fontId="5" fillId="2" borderId="62" xfId="9" applyFont="1" applyFill="1" applyBorder="1" applyAlignment="1" applyProtection="1">
      <alignment horizontal="left" vertical="center" wrapText="1" indent="1"/>
    </xf>
    <xf numFmtId="2" fontId="14" fillId="2" borderId="1" xfId="9" applyNumberFormat="1" applyFont="1" applyFill="1" applyBorder="1" applyAlignment="1">
      <alignment horizontal="center" vertical="center"/>
    </xf>
    <xf numFmtId="0" fontId="14" fillId="2" borderId="29" xfId="9" applyFont="1" applyFill="1" applyBorder="1" applyAlignment="1">
      <alignment horizontal="left" vertical="center" wrapText="1" indent="1"/>
    </xf>
    <xf numFmtId="0" fontId="14" fillId="2" borderId="45" xfId="9" applyFont="1" applyFill="1" applyBorder="1" applyAlignment="1">
      <alignment horizontal="left" vertical="center" wrapText="1" indent="1"/>
    </xf>
    <xf numFmtId="0" fontId="19" fillId="2" borderId="2" xfId="9" applyFont="1" applyFill="1" applyBorder="1" applyAlignment="1">
      <alignment horizontal="left" vertical="center" wrapText="1" indent="1"/>
    </xf>
    <xf numFmtId="0" fontId="19" fillId="2" borderId="3" xfId="9" applyFont="1" applyFill="1" applyBorder="1" applyAlignment="1">
      <alignment horizontal="left" vertical="center" wrapText="1" indent="1"/>
    </xf>
    <xf numFmtId="0" fontId="14" fillId="2" borderId="72" xfId="9" applyFont="1" applyFill="1" applyBorder="1" applyAlignment="1">
      <alignment vertical="center" wrapText="1"/>
    </xf>
    <xf numFmtId="0" fontId="22" fillId="2" borderId="71" xfId="9" applyFont="1" applyFill="1" applyBorder="1"/>
    <xf numFmtId="0" fontId="22" fillId="2" borderId="60" xfId="9" applyFont="1" applyFill="1" applyBorder="1"/>
    <xf numFmtId="0" fontId="22" fillId="2" borderId="64" xfId="9" applyFont="1" applyFill="1" applyBorder="1"/>
    <xf numFmtId="0" fontId="14" fillId="2" borderId="24" xfId="9" applyFont="1" applyFill="1" applyBorder="1" applyAlignment="1">
      <alignment horizontal="center" vertical="center"/>
    </xf>
    <xf numFmtId="0" fontId="14" fillId="2" borderId="0" xfId="9" applyFont="1" applyFill="1" applyBorder="1" applyAlignment="1">
      <alignment horizontal="center" vertical="center"/>
    </xf>
    <xf numFmtId="0" fontId="0" fillId="0" borderId="0" xfId="0"/>
    <xf numFmtId="0" fontId="2" fillId="2" borderId="0" xfId="9" applyFill="1" applyBorder="1"/>
    <xf numFmtId="0" fontId="2" fillId="2" borderId="64" xfId="9" applyFill="1" applyBorder="1"/>
    <xf numFmtId="0" fontId="2" fillId="2" borderId="26" xfId="9" applyFill="1" applyBorder="1"/>
    <xf numFmtId="0" fontId="2" fillId="2" borderId="25" xfId="9" applyFill="1" applyBorder="1"/>
    <xf numFmtId="0" fontId="2" fillId="2" borderId="4" xfId="9" applyFill="1" applyBorder="1"/>
    <xf numFmtId="0" fontId="2" fillId="2" borderId="63" xfId="9" applyFill="1" applyBorder="1"/>
    <xf numFmtId="1" fontId="17" fillId="3" borderId="5" xfId="9" applyNumberFormat="1" applyFont="1" applyFill="1" applyBorder="1" applyAlignment="1" applyProtection="1">
      <alignment horizontal="center" vertical="center"/>
      <protection locked="0"/>
    </xf>
    <xf numFmtId="3" fontId="17" fillId="3" borderId="1" xfId="9" applyNumberFormat="1" applyFont="1" applyFill="1" applyBorder="1" applyAlignment="1" applyProtection="1">
      <alignment horizontal="center" vertical="center"/>
      <protection locked="0"/>
    </xf>
    <xf numFmtId="1" fontId="17" fillId="3" borderId="1" xfId="9" applyNumberFormat="1" applyFont="1" applyFill="1" applyBorder="1" applyAlignment="1" applyProtection="1">
      <alignment horizontal="center" vertical="center"/>
      <protection locked="0"/>
    </xf>
    <xf numFmtId="0" fontId="5" fillId="2" borderId="43" xfId="9" applyFont="1" applyFill="1" applyBorder="1" applyAlignment="1" applyProtection="1">
      <alignment horizontal="left" vertical="center" wrapText="1" indent="1"/>
    </xf>
    <xf numFmtId="0" fontId="17" fillId="2" borderId="0" xfId="9" applyFont="1" applyFill="1" applyBorder="1" applyAlignment="1" applyProtection="1">
      <alignment horizontal="center"/>
      <protection locked="0"/>
    </xf>
    <xf numFmtId="0" fontId="2" fillId="2" borderId="0" xfId="9" applyFill="1" applyBorder="1" applyProtection="1">
      <protection locked="0"/>
    </xf>
    <xf numFmtId="0" fontId="0" fillId="0" borderId="0" xfId="0" applyProtection="1">
      <protection locked="0"/>
    </xf>
    <xf numFmtId="0" fontId="0" fillId="2" borderId="0" xfId="0" applyFill="1"/>
    <xf numFmtId="0" fontId="0" fillId="2" borderId="26" xfId="0" applyFill="1" applyBorder="1"/>
    <xf numFmtId="0" fontId="0" fillId="2" borderId="0" xfId="0" applyFill="1" applyBorder="1"/>
    <xf numFmtId="169" fontId="17" fillId="3" borderId="1" xfId="9" applyNumberFormat="1" applyFont="1" applyFill="1" applyBorder="1" applyAlignment="1" applyProtection="1">
      <alignment horizontal="center" vertical="center"/>
      <protection locked="0"/>
    </xf>
    <xf numFmtId="0" fontId="44" fillId="2" borderId="0" xfId="9" applyFont="1" applyFill="1" applyBorder="1" applyAlignment="1" applyProtection="1">
      <alignment horizontal="left" vertical="center" indent="1"/>
    </xf>
    <xf numFmtId="0" fontId="19" fillId="2" borderId="7" xfId="9" applyFont="1" applyFill="1" applyBorder="1" applyAlignment="1">
      <alignment horizontal="left" vertical="center" indent="1"/>
    </xf>
    <xf numFmtId="0" fontId="14" fillId="2" borderId="0" xfId="9" applyFont="1" applyFill="1" applyBorder="1" applyAlignment="1" applyProtection="1">
      <alignment horizontal="left" vertical="center" wrapText="1"/>
    </xf>
    <xf numFmtId="0" fontId="2" fillId="2" borderId="0" xfId="9" applyFill="1" applyBorder="1" applyProtection="1"/>
    <xf numFmtId="0" fontId="0" fillId="0" borderId="0" xfId="0" applyProtection="1"/>
    <xf numFmtId="0" fontId="2" fillId="2" borderId="26" xfId="9" applyFill="1" applyBorder="1" applyProtection="1"/>
    <xf numFmtId="0" fontId="2" fillId="2" borderId="64" xfId="9" applyFill="1" applyBorder="1" applyProtection="1"/>
    <xf numFmtId="0" fontId="0" fillId="2" borderId="0" xfId="0" applyFill="1" applyProtection="1"/>
    <xf numFmtId="0" fontId="19" fillId="2" borderId="3" xfId="9" applyFont="1" applyFill="1" applyBorder="1" applyAlignment="1">
      <alignment vertical="center" wrapText="1"/>
    </xf>
    <xf numFmtId="1" fontId="5" fillId="2" borderId="0" xfId="2" applyNumberFormat="1" applyFont="1" applyFill="1" applyBorder="1" applyAlignment="1" applyProtection="1">
      <alignment horizontal="left" vertical="center" wrapText="1" indent="1"/>
    </xf>
    <xf numFmtId="9" fontId="52" fillId="0" borderId="0" xfId="0" applyNumberFormat="1" applyFont="1"/>
    <xf numFmtId="0" fontId="0" fillId="2" borderId="3" xfId="0" applyFill="1" applyBorder="1" applyAlignment="1">
      <alignment vertical="center"/>
    </xf>
    <xf numFmtId="0" fontId="19" fillId="2" borderId="3" xfId="9" applyFont="1" applyFill="1" applyBorder="1" applyAlignment="1">
      <alignment vertical="center"/>
    </xf>
    <xf numFmtId="0" fontId="2" fillId="0" borderId="0" xfId="9"/>
    <xf numFmtId="166" fontId="2" fillId="0" borderId="0" xfId="9" applyNumberFormat="1"/>
    <xf numFmtId="0" fontId="5" fillId="0" borderId="0" xfId="301" applyFont="1">
      <alignment vertical="center"/>
    </xf>
    <xf numFmtId="167" fontId="45" fillId="0" borderId="0" xfId="0" applyNumberFormat="1" applyFont="1"/>
    <xf numFmtId="167" fontId="5" fillId="0" borderId="0" xfId="301" applyNumberFormat="1" applyFont="1">
      <alignment vertical="center"/>
    </xf>
    <xf numFmtId="0" fontId="11" fillId="0" borderId="0" xfId="301">
      <alignment vertical="center"/>
    </xf>
    <xf numFmtId="167" fontId="5" fillId="0" borderId="0" xfId="301" applyNumberFormat="1" applyFont="1">
      <alignment vertical="center"/>
    </xf>
    <xf numFmtId="0" fontId="14" fillId="39" borderId="3" xfId="9" applyFont="1" applyFill="1" applyBorder="1" applyAlignment="1">
      <alignment vertical="center"/>
    </xf>
    <xf numFmtId="0" fontId="14" fillId="39" borderId="7" xfId="9" applyFont="1" applyFill="1" applyBorder="1" applyAlignment="1">
      <alignment vertical="center"/>
    </xf>
    <xf numFmtId="0" fontId="14" fillId="39" borderId="2" xfId="9" applyFont="1" applyFill="1" applyBorder="1" applyAlignment="1">
      <alignment horizontal="left" vertical="center" indent="1"/>
    </xf>
    <xf numFmtId="3" fontId="44" fillId="0" borderId="0" xfId="301" applyNumberFormat="1" applyFont="1" applyAlignment="1">
      <alignment horizontal="center" vertical="center"/>
    </xf>
    <xf numFmtId="0" fontId="52" fillId="0" borderId="0" xfId="0" applyFont="1"/>
    <xf numFmtId="0" fontId="0" fillId="2" borderId="64" xfId="0" applyFill="1" applyBorder="1"/>
    <xf numFmtId="0" fontId="54" fillId="43" borderId="67" xfId="0" applyFont="1" applyFill="1" applyBorder="1" applyAlignment="1">
      <alignment horizontal="center" vertical="center" wrapText="1"/>
    </xf>
    <xf numFmtId="166" fontId="0" fillId="43" borderId="67" xfId="0" applyNumberFormat="1" applyFill="1" applyBorder="1" applyAlignment="1">
      <alignment horizontal="center" vertical="center"/>
    </xf>
    <xf numFmtId="0" fontId="0" fillId="2" borderId="0" xfId="0" applyFill="1" applyBorder="1" applyAlignment="1">
      <alignment horizontal="left" vertical="center" wrapText="1"/>
    </xf>
    <xf numFmtId="0" fontId="0" fillId="2" borderId="64" xfId="0" applyFill="1" applyBorder="1" applyAlignment="1">
      <alignment horizontal="left" vertical="center" wrapText="1"/>
    </xf>
    <xf numFmtId="0" fontId="0" fillId="2" borderId="0" xfId="0" applyFill="1" applyBorder="1" applyAlignment="1">
      <alignment horizontal="center" vertical="center" wrapText="1"/>
    </xf>
    <xf numFmtId="0" fontId="0" fillId="2" borderId="64" xfId="0" applyFill="1" applyBorder="1" applyAlignment="1">
      <alignment horizontal="center" vertical="center" wrapText="1"/>
    </xf>
    <xf numFmtId="0" fontId="17" fillId="2" borderId="76" xfId="9" applyFont="1" applyFill="1" applyBorder="1"/>
    <xf numFmtId="3" fontId="17" fillId="3" borderId="0" xfId="9" applyNumberFormat="1" applyFont="1" applyFill="1" applyBorder="1" applyAlignment="1">
      <alignment horizontal="center" vertical="center"/>
    </xf>
    <xf numFmtId="0" fontId="17" fillId="2" borderId="65" xfId="9" applyFont="1" applyFill="1" applyBorder="1"/>
    <xf numFmtId="0" fontId="2" fillId="2" borderId="23" xfId="9" applyFill="1" applyBorder="1"/>
    <xf numFmtId="0" fontId="2" fillId="2" borderId="80" xfId="9" applyFill="1" applyBorder="1"/>
    <xf numFmtId="0" fontId="0" fillId="2" borderId="63" xfId="0" applyFill="1" applyBorder="1" applyAlignment="1">
      <alignment vertical="center" wrapText="1"/>
    </xf>
    <xf numFmtId="0" fontId="0" fillId="2" borderId="25" xfId="0" applyFill="1" applyBorder="1" applyAlignment="1">
      <alignment vertical="center" wrapText="1"/>
    </xf>
    <xf numFmtId="0" fontId="0" fillId="2" borderId="4" xfId="0" applyFill="1" applyBorder="1" applyAlignment="1">
      <alignment vertical="center" wrapText="1"/>
    </xf>
    <xf numFmtId="0" fontId="0" fillId="2" borderId="0" xfId="0" applyFill="1" applyBorder="1" applyAlignment="1">
      <alignment horizontal="left" vertical="center" wrapText="1" indent="1"/>
    </xf>
    <xf numFmtId="0" fontId="0" fillId="2" borderId="64" xfId="0" applyFill="1" applyBorder="1" applyAlignment="1">
      <alignment horizontal="left" vertical="center" wrapText="1" indent="1"/>
    </xf>
    <xf numFmtId="0" fontId="60" fillId="44" borderId="1" xfId="9" applyFont="1" applyFill="1" applyBorder="1" applyAlignment="1">
      <alignment horizontal="center" vertical="center" wrapText="1"/>
    </xf>
    <xf numFmtId="0" fontId="61" fillId="44" borderId="1" xfId="9" applyFont="1" applyFill="1" applyBorder="1" applyAlignment="1">
      <alignment horizontal="center" vertical="center" wrapText="1"/>
    </xf>
    <xf numFmtId="9" fontId="2" fillId="2" borderId="0" xfId="2" applyFont="1" applyFill="1" applyBorder="1"/>
    <xf numFmtId="9" fontId="5" fillId="0" borderId="0" xfId="2" applyFont="1" applyAlignment="1">
      <alignment vertical="center"/>
    </xf>
    <xf numFmtId="0" fontId="5" fillId="0" borderId="0" xfId="301" applyFont="1">
      <alignment vertical="center"/>
    </xf>
    <xf numFmtId="0" fontId="5" fillId="0" borderId="0" xfId="301" applyFont="1">
      <alignment vertical="center"/>
    </xf>
    <xf numFmtId="0" fontId="14" fillId="44" borderId="1" xfId="9" applyFont="1" applyFill="1" applyBorder="1" applyAlignment="1">
      <alignment horizontal="center" vertical="center" wrapText="1"/>
    </xf>
    <xf numFmtId="0" fontId="19" fillId="44" borderId="1" xfId="9" applyFont="1" applyFill="1" applyBorder="1" applyAlignment="1">
      <alignment horizontal="center" vertical="center" wrapText="1"/>
    </xf>
    <xf numFmtId="0" fontId="5" fillId="0" borderId="0" xfId="301" applyFont="1">
      <alignment vertical="center"/>
    </xf>
    <xf numFmtId="9" fontId="61" fillId="44" borderId="1" xfId="2" applyFont="1" applyFill="1" applyBorder="1" applyAlignment="1">
      <alignment horizontal="center" vertical="center" wrapText="1"/>
    </xf>
    <xf numFmtId="9" fontId="52" fillId="0" borderId="0" xfId="2" applyFont="1"/>
    <xf numFmtId="3" fontId="0" fillId="0" borderId="0" xfId="0" applyNumberFormat="1" applyFill="1"/>
    <xf numFmtId="0" fontId="0" fillId="0" borderId="0" xfId="0" applyFill="1" applyBorder="1" applyAlignment="1">
      <alignment wrapText="1"/>
    </xf>
    <xf numFmtId="0" fontId="14" fillId="3" borderId="1" xfId="9" applyFont="1" applyFill="1" applyBorder="1" applyAlignment="1">
      <alignment horizontal="center" vertical="center" wrapText="1"/>
    </xf>
    <xf numFmtId="0" fontId="19" fillId="3" borderId="1" xfId="9" applyFont="1" applyFill="1" applyBorder="1" applyAlignment="1" applyProtection="1">
      <alignment horizontal="center" vertical="center" wrapText="1"/>
      <protection locked="0"/>
    </xf>
    <xf numFmtId="9" fontId="19" fillId="3" borderId="1" xfId="2" applyFont="1" applyFill="1" applyBorder="1" applyAlignment="1" applyProtection="1">
      <alignment horizontal="center" vertical="center" wrapText="1"/>
      <protection locked="0"/>
    </xf>
    <xf numFmtId="0" fontId="19" fillId="44" borderId="0" xfId="9" applyFont="1" applyFill="1" applyBorder="1" applyAlignment="1">
      <alignment horizontal="center" vertical="center" wrapText="1"/>
    </xf>
    <xf numFmtId="0" fontId="61" fillId="44" borderId="0" xfId="9" applyFont="1" applyFill="1" applyBorder="1" applyAlignment="1">
      <alignment horizontal="center" vertical="center" wrapText="1"/>
    </xf>
    <xf numFmtId="9" fontId="61" fillId="44" borderId="0" xfId="2" applyFont="1" applyFill="1" applyBorder="1" applyAlignment="1">
      <alignment horizontal="center" vertical="center" wrapText="1"/>
    </xf>
    <xf numFmtId="0" fontId="14" fillId="2" borderId="26" xfId="9" applyFont="1" applyFill="1" applyBorder="1" applyAlignment="1">
      <alignment vertical="center" wrapText="1"/>
    </xf>
    <xf numFmtId="0" fontId="22" fillId="2" borderId="61" xfId="9" applyFont="1" applyFill="1" applyBorder="1"/>
    <xf numFmtId="0" fontId="14" fillId="44" borderId="3" xfId="9" applyFont="1" applyFill="1" applyBorder="1" applyAlignment="1">
      <alignment horizontal="center" vertical="center" wrapText="1"/>
    </xf>
    <xf numFmtId="0" fontId="7" fillId="3" borderId="1" xfId="9" applyFont="1" applyFill="1" applyBorder="1" applyAlignment="1">
      <alignment horizontal="center" vertical="center" wrapText="1"/>
    </xf>
    <xf numFmtId="1" fontId="19" fillId="3" borderId="1" xfId="9" applyNumberFormat="1" applyFont="1" applyFill="1" applyBorder="1" applyAlignment="1">
      <alignment horizontal="center" vertical="center"/>
    </xf>
    <xf numFmtId="3" fontId="19" fillId="3" borderId="1" xfId="9" applyNumberFormat="1" applyFont="1" applyFill="1" applyBorder="1" applyAlignment="1">
      <alignment horizontal="center" vertical="center"/>
    </xf>
    <xf numFmtId="0" fontId="5" fillId="0" borderId="0" xfId="301" applyFont="1" applyFill="1">
      <alignment vertical="center"/>
    </xf>
    <xf numFmtId="0" fontId="19" fillId="44" borderId="3" xfId="9" applyFont="1" applyFill="1" applyBorder="1" applyAlignment="1">
      <alignment horizontal="center" vertical="center" wrapText="1"/>
    </xf>
    <xf numFmtId="1" fontId="19" fillId="3" borderId="1" xfId="9" applyNumberFormat="1" applyFont="1" applyFill="1" applyBorder="1" applyAlignment="1" applyProtection="1">
      <alignment horizontal="center" vertical="center"/>
      <protection locked="0"/>
    </xf>
    <xf numFmtId="3" fontId="19" fillId="3" borderId="1" xfId="9" applyNumberFormat="1" applyFont="1" applyFill="1" applyBorder="1" applyAlignment="1" applyProtection="1">
      <alignment horizontal="center" vertical="center"/>
      <protection locked="0"/>
    </xf>
    <xf numFmtId="0" fontId="12" fillId="2" borderId="68" xfId="9" applyFont="1" applyFill="1" applyBorder="1" applyAlignment="1" applyProtection="1">
      <alignment horizontal="center" vertical="center"/>
    </xf>
    <xf numFmtId="0" fontId="12" fillId="2" borderId="1" xfId="9" applyFont="1" applyFill="1" applyBorder="1" applyAlignment="1" applyProtection="1">
      <alignment horizontal="center" vertical="center"/>
    </xf>
    <xf numFmtId="0" fontId="12" fillId="2" borderId="67" xfId="9" applyFont="1" applyFill="1" applyBorder="1" applyAlignment="1" applyProtection="1">
      <alignment horizontal="center" vertical="center"/>
    </xf>
    <xf numFmtId="0" fontId="2" fillId="2" borderId="68" xfId="9" applyFill="1" applyBorder="1" applyAlignment="1" applyProtection="1">
      <alignment horizontal="left" vertical="center" indent="1"/>
    </xf>
    <xf numFmtId="0" fontId="2" fillId="2" borderId="1" xfId="9" applyFill="1" applyBorder="1" applyProtection="1"/>
    <xf numFmtId="164" fontId="2" fillId="2" borderId="67" xfId="9" applyNumberFormat="1" applyFill="1" applyBorder="1" applyAlignment="1" applyProtection="1">
      <alignment horizontal="center" vertical="center"/>
    </xf>
    <xf numFmtId="0" fontId="2" fillId="2" borderId="59" xfId="9" applyFill="1" applyBorder="1" applyAlignment="1" applyProtection="1">
      <alignment horizontal="left" vertical="center" indent="1"/>
    </xf>
    <xf numFmtId="0" fontId="2" fillId="2" borderId="24" xfId="9" applyFill="1" applyBorder="1" applyProtection="1"/>
    <xf numFmtId="0" fontId="2" fillId="2" borderId="30" xfId="9" applyFill="1" applyBorder="1" applyProtection="1"/>
    <xf numFmtId="0" fontId="2" fillId="2" borderId="2" xfId="9" applyFill="1" applyBorder="1" applyProtection="1"/>
    <xf numFmtId="0" fontId="2" fillId="2" borderId="26" xfId="9" applyFill="1" applyBorder="1" applyAlignment="1" applyProtection="1">
      <alignment horizontal="left" vertical="center" indent="1"/>
    </xf>
    <xf numFmtId="164" fontId="2" fillId="2" borderId="64" xfId="9" applyNumberFormat="1" applyFill="1" applyBorder="1" applyAlignment="1" applyProtection="1">
      <alignment horizontal="center" vertical="center"/>
    </xf>
    <xf numFmtId="0" fontId="2" fillId="2" borderId="25" xfId="9" applyFill="1" applyBorder="1" applyProtection="1"/>
    <xf numFmtId="0" fontId="2" fillId="2" borderId="4" xfId="9" applyFill="1" applyBorder="1" applyProtection="1"/>
    <xf numFmtId="0" fontId="2" fillId="2" borderId="63" xfId="9" applyFill="1" applyBorder="1" applyProtection="1"/>
    <xf numFmtId="0" fontId="2" fillId="2" borderId="60" xfId="9" applyFill="1" applyBorder="1" applyProtection="1"/>
    <xf numFmtId="0" fontId="2" fillId="2" borderId="61" xfId="9" applyFill="1" applyBorder="1" applyProtection="1"/>
    <xf numFmtId="0" fontId="0" fillId="2" borderId="26" xfId="0" applyFill="1" applyBorder="1" applyProtection="1"/>
    <xf numFmtId="0" fontId="0" fillId="2" borderId="0" xfId="0" applyFill="1" applyBorder="1" applyProtection="1"/>
    <xf numFmtId="0" fontId="0" fillId="2" borderId="63" xfId="0" applyFill="1" applyBorder="1" applyProtection="1"/>
    <xf numFmtId="0" fontId="0" fillId="2" borderId="25" xfId="0" applyFill="1" applyBorder="1" applyProtection="1"/>
    <xf numFmtId="0" fontId="0" fillId="2" borderId="4" xfId="0" applyFill="1" applyBorder="1" applyProtection="1"/>
    <xf numFmtId="3" fontId="17" fillId="3" borderId="1" xfId="9" applyNumberFormat="1" applyFont="1" applyFill="1" applyBorder="1" applyAlignment="1">
      <alignment horizontal="center" vertical="center" wrapText="1"/>
    </xf>
    <xf numFmtId="3" fontId="17" fillId="30" borderId="1" xfId="9" applyNumberFormat="1" applyFont="1" applyFill="1" applyBorder="1" applyAlignment="1">
      <alignment horizontal="center" vertical="center" wrapText="1"/>
    </xf>
    <xf numFmtId="0" fontId="0" fillId="2" borderId="0" xfId="0" applyFill="1" applyProtection="1">
      <protection locked="0"/>
    </xf>
    <xf numFmtId="0" fontId="0" fillId="2" borderId="25" xfId="0" applyFill="1" applyBorder="1" applyProtection="1">
      <protection locked="0"/>
    </xf>
    <xf numFmtId="0" fontId="14" fillId="2" borderId="2" xfId="9" applyFont="1" applyFill="1" applyBorder="1" applyAlignment="1">
      <alignment horizontal="center" vertical="center" wrapText="1"/>
    </xf>
    <xf numFmtId="0" fontId="15" fillId="5" borderId="9" xfId="9" applyFont="1" applyFill="1" applyBorder="1" applyAlignment="1">
      <alignment horizontal="center" vertical="center" shrinkToFit="1"/>
    </xf>
    <xf numFmtId="0" fontId="15" fillId="5" borderId="9" xfId="9" applyFont="1" applyFill="1" applyBorder="1" applyAlignment="1">
      <alignment horizontal="center" vertical="center"/>
    </xf>
    <xf numFmtId="0" fontId="14" fillId="2" borderId="31" xfId="9" applyFont="1" applyFill="1" applyBorder="1" applyAlignment="1">
      <alignment horizontal="left" vertical="center" wrapText="1" indent="1"/>
    </xf>
    <xf numFmtId="0" fontId="2" fillId="2" borderId="26" xfId="9" applyFill="1" applyBorder="1" applyProtection="1">
      <protection locked="0"/>
    </xf>
    <xf numFmtId="0" fontId="2" fillId="2" borderId="64" xfId="9" applyFill="1" applyBorder="1" applyProtection="1">
      <protection locked="0"/>
    </xf>
    <xf numFmtId="0" fontId="12" fillId="2" borderId="0" xfId="9" applyFont="1" applyFill="1" applyBorder="1" applyAlignment="1" applyProtection="1">
      <alignment vertical="center"/>
      <protection locked="0"/>
    </xf>
    <xf numFmtId="0" fontId="14" fillId="40" borderId="2" xfId="9" applyFont="1" applyFill="1" applyBorder="1" applyAlignment="1" applyProtection="1">
      <alignment horizontal="left"/>
      <protection locked="0"/>
    </xf>
    <xf numFmtId="0" fontId="17" fillId="2" borderId="1" xfId="9" applyFont="1" applyFill="1" applyBorder="1" applyAlignment="1" applyProtection="1">
      <alignment horizontal="left" vertical="center" indent="1"/>
      <protection locked="0"/>
    </xf>
    <xf numFmtId="0" fontId="14" fillId="31" borderId="2" xfId="9" applyFont="1" applyFill="1" applyBorder="1" applyAlignment="1" applyProtection="1">
      <alignment horizontal="right"/>
      <protection locked="0"/>
    </xf>
    <xf numFmtId="0" fontId="14" fillId="41" borderId="2" xfId="9" applyFont="1" applyFill="1" applyBorder="1" applyAlignment="1" applyProtection="1">
      <alignment horizontal="right"/>
      <protection locked="0"/>
    </xf>
    <xf numFmtId="0" fontId="2" fillId="2" borderId="41" xfId="9" applyFill="1" applyBorder="1" applyProtection="1">
      <protection locked="0"/>
    </xf>
    <xf numFmtId="0" fontId="2" fillId="2" borderId="8" xfId="9" applyFill="1" applyBorder="1" applyProtection="1">
      <protection locked="0"/>
    </xf>
    <xf numFmtId="0" fontId="2" fillId="2" borderId="42" xfId="9" applyFill="1" applyBorder="1" applyProtection="1">
      <protection locked="0"/>
    </xf>
    <xf numFmtId="0" fontId="2" fillId="2" borderId="22" xfId="9" applyFill="1" applyBorder="1" applyProtection="1">
      <protection locked="0"/>
    </xf>
    <xf numFmtId="0" fontId="2" fillId="2" borderId="0" xfId="9" applyFont="1" applyFill="1" applyBorder="1" applyAlignment="1" applyProtection="1">
      <alignment horizontal="left" vertical="center" indent="1"/>
      <protection locked="0"/>
    </xf>
    <xf numFmtId="0" fontId="2" fillId="2" borderId="75" xfId="9" applyFont="1" applyFill="1" applyBorder="1" applyAlignment="1" applyProtection="1">
      <alignment horizontal="left" vertical="center" indent="1"/>
      <protection locked="0"/>
    </xf>
    <xf numFmtId="0" fontId="14" fillId="30" borderId="2" xfId="9" applyFont="1" applyFill="1" applyBorder="1" applyAlignment="1" applyProtection="1">
      <alignment horizontal="left"/>
      <protection locked="0"/>
    </xf>
    <xf numFmtId="0" fontId="2" fillId="2" borderId="0" xfId="9" applyFont="1" applyFill="1" applyBorder="1" applyAlignment="1" applyProtection="1">
      <alignment vertical="center"/>
      <protection locked="0"/>
    </xf>
    <xf numFmtId="0" fontId="14" fillId="30" borderId="2" xfId="9" applyFont="1" applyFill="1" applyBorder="1" applyAlignment="1" applyProtection="1">
      <alignment horizontal="right"/>
      <protection locked="0"/>
    </xf>
    <xf numFmtId="0" fontId="17" fillId="28" borderId="1" xfId="9" applyFont="1" applyFill="1" applyBorder="1" applyAlignment="1" applyProtection="1">
      <alignment horizontal="center" vertical="center"/>
      <protection locked="0"/>
    </xf>
    <xf numFmtId="0" fontId="2" fillId="2" borderId="0" xfId="9" applyFont="1" applyFill="1" applyBorder="1" applyProtection="1">
      <protection locked="0"/>
    </xf>
    <xf numFmtId="0" fontId="14" fillId="38" borderId="2" xfId="9" applyFont="1" applyFill="1" applyBorder="1" applyAlignment="1" applyProtection="1">
      <alignment horizontal="left"/>
      <protection locked="0"/>
    </xf>
    <xf numFmtId="0" fontId="14" fillId="32" borderId="2" xfId="9" applyFont="1" applyFill="1" applyBorder="1" applyAlignment="1" applyProtection="1">
      <alignment horizontal="right"/>
      <protection locked="0"/>
    </xf>
    <xf numFmtId="0" fontId="14" fillId="33" borderId="2" xfId="9" applyFont="1" applyFill="1" applyBorder="1" applyAlignment="1" applyProtection="1">
      <alignment horizontal="right"/>
      <protection locked="0"/>
    </xf>
    <xf numFmtId="0" fontId="14" fillId="35" borderId="2" xfId="9" applyFont="1" applyFill="1" applyBorder="1" applyAlignment="1" applyProtection="1">
      <alignment horizontal="right"/>
      <protection locked="0"/>
    </xf>
    <xf numFmtId="0" fontId="14" fillId="34" borderId="2" xfId="9" applyFont="1" applyFill="1" applyBorder="1" applyAlignment="1" applyProtection="1">
      <alignment horizontal="right"/>
      <protection locked="0"/>
    </xf>
    <xf numFmtId="0" fontId="14" fillId="36" borderId="2" xfId="9" applyFont="1" applyFill="1" applyBorder="1" applyAlignment="1" applyProtection="1">
      <alignment horizontal="right"/>
      <protection locked="0"/>
    </xf>
    <xf numFmtId="0" fontId="14" fillId="37" borderId="2" xfId="9" applyFont="1" applyFill="1" applyBorder="1" applyProtection="1">
      <protection locked="0"/>
    </xf>
    <xf numFmtId="0" fontId="49" fillId="2" borderId="0" xfId="9" applyFont="1" applyFill="1" applyBorder="1" applyAlignment="1" applyProtection="1">
      <alignment wrapText="1"/>
      <protection locked="0"/>
    </xf>
    <xf numFmtId="0" fontId="50" fillId="2" borderId="63" xfId="1241" applyFill="1" applyBorder="1" applyAlignment="1" applyProtection="1">
      <alignment vertical="center" wrapText="1"/>
      <protection locked="0"/>
    </xf>
    <xf numFmtId="0" fontId="50" fillId="2" borderId="25" xfId="1241" applyFill="1" applyBorder="1" applyAlignment="1" applyProtection="1">
      <alignment vertical="center" wrapText="1"/>
      <protection locked="0"/>
    </xf>
    <xf numFmtId="0" fontId="50" fillId="2" borderId="4" xfId="1241" applyFill="1" applyBorder="1" applyAlignment="1" applyProtection="1">
      <alignment vertical="center" wrapText="1"/>
      <protection locked="0"/>
    </xf>
    <xf numFmtId="0" fontId="20" fillId="38" borderId="61" xfId="9" applyFont="1" applyFill="1" applyBorder="1" applyAlignment="1" applyProtection="1">
      <alignment vertical="center"/>
    </xf>
    <xf numFmtId="0" fontId="20" fillId="38" borderId="62" xfId="9" applyFont="1" applyFill="1" applyBorder="1" applyAlignment="1" applyProtection="1">
      <alignment vertical="center"/>
    </xf>
    <xf numFmtId="0" fontId="20" fillId="38" borderId="0" xfId="9" applyFont="1" applyFill="1" applyBorder="1" applyAlignment="1" applyProtection="1">
      <alignment vertical="center"/>
    </xf>
    <xf numFmtId="0" fontId="20" fillId="38" borderId="64" xfId="9" applyFont="1" applyFill="1" applyBorder="1" applyAlignment="1" applyProtection="1">
      <alignment vertical="center"/>
    </xf>
    <xf numFmtId="0" fontId="20" fillId="4" borderId="0" xfId="9" applyFont="1" applyFill="1" applyBorder="1" applyAlignment="1" applyProtection="1">
      <alignment vertical="center"/>
    </xf>
    <xf numFmtId="0" fontId="2" fillId="2" borderId="0" xfId="9" applyFill="1" applyBorder="1" applyAlignment="1" applyProtection="1">
      <alignment horizontal="center"/>
    </xf>
    <xf numFmtId="0" fontId="7" fillId="3" borderId="3" xfId="9" applyFont="1" applyFill="1" applyBorder="1" applyAlignment="1">
      <alignment horizontal="center" vertical="center" wrapText="1"/>
    </xf>
    <xf numFmtId="164" fontId="17" fillId="3" borderId="85" xfId="9" applyNumberFormat="1" applyFont="1" applyFill="1" applyBorder="1" applyAlignment="1" applyProtection="1">
      <alignment horizontal="center" vertical="center"/>
      <protection locked="0"/>
    </xf>
    <xf numFmtId="0" fontId="17" fillId="3" borderId="85" xfId="9" applyFont="1" applyFill="1" applyBorder="1" applyProtection="1">
      <protection locked="0"/>
    </xf>
    <xf numFmtId="0" fontId="17" fillId="3" borderId="85" xfId="9" applyFont="1" applyFill="1" applyBorder="1" applyAlignment="1" applyProtection="1">
      <alignment horizontal="center" vertical="center"/>
      <protection locked="0"/>
    </xf>
    <xf numFmtId="0" fontId="17" fillId="3" borderId="85" xfId="9" applyFont="1" applyFill="1" applyBorder="1" applyAlignment="1">
      <alignment horizontal="center" vertical="center"/>
    </xf>
    <xf numFmtId="167" fontId="17" fillId="3" borderId="85" xfId="9" applyNumberFormat="1" applyFont="1" applyFill="1" applyBorder="1" applyAlignment="1" applyProtection="1">
      <alignment horizontal="center" vertical="center"/>
      <protection locked="0"/>
    </xf>
    <xf numFmtId="3" fontId="17" fillId="3" borderId="85" xfId="9" applyNumberFormat="1" applyFont="1" applyFill="1" applyBorder="1" applyAlignment="1" applyProtection="1">
      <alignment horizontal="center" vertical="center"/>
      <protection locked="0"/>
    </xf>
    <xf numFmtId="0" fontId="2" fillId="2" borderId="23" xfId="9" applyFont="1" applyFill="1" applyBorder="1" applyAlignment="1" applyProtection="1">
      <alignment vertical="center"/>
      <protection locked="0"/>
    </xf>
    <xf numFmtId="0" fontId="0" fillId="28" borderId="0" xfId="0" applyFill="1"/>
    <xf numFmtId="9" fontId="5" fillId="0" borderId="0" xfId="301" applyNumberFormat="1" applyFont="1">
      <alignment vertical="center"/>
    </xf>
    <xf numFmtId="9" fontId="5" fillId="0" borderId="0" xfId="301" applyNumberFormat="1" applyFont="1">
      <alignment vertical="center"/>
    </xf>
    <xf numFmtId="9" fontId="5" fillId="0" borderId="0" xfId="301" applyNumberFormat="1" applyFont="1">
      <alignment vertical="center"/>
    </xf>
    <xf numFmtId="9" fontId="5" fillId="0" borderId="0" xfId="301" applyNumberFormat="1" applyFont="1">
      <alignment vertical="center"/>
    </xf>
    <xf numFmtId="9" fontId="5" fillId="0" borderId="0" xfId="301" applyNumberFormat="1" applyFont="1">
      <alignment vertical="center"/>
    </xf>
    <xf numFmtId="0" fontId="2" fillId="2" borderId="77" xfId="9" applyFont="1" applyFill="1" applyBorder="1" applyAlignment="1" applyProtection="1">
      <alignment horizontal="left" vertical="center" indent="1"/>
      <protection locked="0"/>
    </xf>
    <xf numFmtId="0" fontId="2" fillId="2" borderId="42" xfId="9" applyFont="1" applyFill="1" applyBorder="1" applyAlignment="1" applyProtection="1">
      <alignment horizontal="left" vertical="center" indent="1"/>
      <protection locked="0"/>
    </xf>
    <xf numFmtId="0" fontId="14" fillId="2" borderId="24" xfId="9" applyFont="1" applyFill="1" applyBorder="1" applyAlignment="1">
      <alignment horizontal="center" vertical="center" wrapText="1"/>
    </xf>
    <xf numFmtId="0" fontId="2" fillId="2" borderId="24" xfId="9" applyFill="1" applyBorder="1"/>
    <xf numFmtId="0" fontId="18" fillId="2" borderId="24" xfId="9" applyFont="1" applyFill="1" applyBorder="1" applyAlignment="1">
      <alignment horizontal="center"/>
    </xf>
    <xf numFmtId="0" fontId="0" fillId="45" borderId="0" xfId="0" applyFill="1"/>
    <xf numFmtId="0" fontId="14" fillId="46" borderId="2" xfId="9" applyFont="1" applyFill="1" applyBorder="1" applyAlignment="1" applyProtection="1">
      <alignment horizontal="right"/>
      <protection locked="0"/>
    </xf>
    <xf numFmtId="44" fontId="0" fillId="2" borderId="0" xfId="1" applyFont="1" applyFill="1"/>
    <xf numFmtId="0" fontId="0" fillId="2" borderId="0" xfId="0" applyFill="1" applyAlignment="1">
      <alignment horizontal="center"/>
    </xf>
    <xf numFmtId="0" fontId="66" fillId="2" borderId="0" xfId="0" applyFont="1" applyFill="1"/>
    <xf numFmtId="0" fontId="67" fillId="2" borderId="1" xfId="0" applyFont="1" applyFill="1" applyBorder="1" applyAlignment="1">
      <alignment horizontal="center" vertical="center"/>
    </xf>
    <xf numFmtId="0" fontId="66" fillId="2" borderId="68" xfId="0" applyFont="1" applyFill="1" applyBorder="1" applyAlignment="1">
      <alignment horizontal="left" vertical="center" indent="1"/>
    </xf>
    <xf numFmtId="0" fontId="66" fillId="2" borderId="1" xfId="0" applyFont="1" applyFill="1" applyBorder="1" applyAlignment="1">
      <alignment horizontal="center"/>
    </xf>
    <xf numFmtId="0" fontId="67" fillId="2" borderId="68" xfId="0" applyFont="1" applyFill="1" applyBorder="1"/>
    <xf numFmtId="0" fontId="66" fillId="2" borderId="68" xfId="0" applyFont="1" applyFill="1" applyBorder="1" applyAlignment="1">
      <alignment horizontal="right" vertical="center" indent="1"/>
    </xf>
    <xf numFmtId="44" fontId="66" fillId="3" borderId="3" xfId="1" applyFont="1" applyFill="1" applyBorder="1" applyProtection="1">
      <protection locked="0"/>
    </xf>
    <xf numFmtId="44" fontId="66" fillId="3" borderId="1" xfId="1" applyFont="1" applyFill="1" applyBorder="1" applyProtection="1">
      <protection locked="0"/>
    </xf>
    <xf numFmtId="165" fontId="66" fillId="3" borderId="1" xfId="0" applyNumberFormat="1" applyFont="1" applyFill="1" applyBorder="1" applyProtection="1">
      <protection locked="0"/>
    </xf>
    <xf numFmtId="0" fontId="66" fillId="3" borderId="1" xfId="0" applyFont="1" applyFill="1" applyBorder="1" applyAlignment="1" applyProtection="1">
      <alignment horizontal="center"/>
      <protection locked="0"/>
    </xf>
    <xf numFmtId="0" fontId="50" fillId="2" borderId="26" xfId="1241" applyFill="1" applyBorder="1" applyAlignment="1" applyProtection="1">
      <alignment horizontal="center" vertical="center" wrapText="1"/>
      <protection locked="0"/>
    </xf>
    <xf numFmtId="0" fontId="53" fillId="2" borderId="0" xfId="1241" applyFont="1" applyFill="1" applyBorder="1" applyAlignment="1" applyProtection="1">
      <alignment horizontal="center" vertical="center" wrapText="1"/>
      <protection locked="0"/>
    </xf>
    <xf numFmtId="0" fontId="53" fillId="2" borderId="64" xfId="1241" applyFont="1" applyFill="1" applyBorder="1" applyAlignment="1" applyProtection="1">
      <alignment horizontal="center" vertical="center" wrapText="1"/>
      <protection locked="0"/>
    </xf>
    <xf numFmtId="0" fontId="2" fillId="2" borderId="2" xfId="9" applyFont="1" applyFill="1" applyBorder="1" applyAlignment="1" applyProtection="1">
      <alignment horizontal="left" vertical="center" indent="1"/>
      <protection locked="0"/>
    </xf>
    <xf numFmtId="0" fontId="2" fillId="2" borderId="7" xfId="9" applyFont="1" applyFill="1" applyBorder="1" applyAlignment="1" applyProtection="1">
      <alignment horizontal="left" vertical="center" indent="1"/>
      <protection locked="0"/>
    </xf>
    <xf numFmtId="0" fontId="2" fillId="2" borderId="3" xfId="9" applyFont="1" applyFill="1" applyBorder="1" applyAlignment="1" applyProtection="1">
      <alignment horizontal="left" vertical="center" indent="1"/>
      <protection locked="0"/>
    </xf>
    <xf numFmtId="0" fontId="50" fillId="2" borderId="23" xfId="1241" applyFont="1" applyFill="1" applyBorder="1" applyAlignment="1" applyProtection="1">
      <alignment horizontal="center" vertical="center"/>
      <protection locked="0"/>
    </xf>
    <xf numFmtId="0" fontId="50" fillId="2" borderId="22" xfId="1241" applyFont="1" applyFill="1" applyBorder="1" applyAlignment="1" applyProtection="1">
      <alignment horizontal="center" vertical="center"/>
      <protection locked="0"/>
    </xf>
    <xf numFmtId="0" fontId="49" fillId="2" borderId="76" xfId="9" applyFont="1" applyFill="1" applyBorder="1" applyAlignment="1" applyProtection="1">
      <alignment horizontal="center" wrapText="1"/>
      <protection locked="0"/>
    </xf>
    <xf numFmtId="0" fontId="49" fillId="2" borderId="24" xfId="9" applyFont="1" applyFill="1" applyBorder="1" applyAlignment="1" applyProtection="1">
      <alignment horizontal="center" wrapText="1"/>
      <protection locked="0"/>
    </xf>
    <xf numFmtId="0" fontId="49" fillId="2" borderId="30" xfId="9" applyFont="1" applyFill="1" applyBorder="1" applyAlignment="1" applyProtection="1">
      <alignment horizontal="center" wrapText="1"/>
      <protection locked="0"/>
    </xf>
    <xf numFmtId="0" fontId="49" fillId="2" borderId="26" xfId="9" applyFont="1" applyFill="1" applyBorder="1" applyAlignment="1" applyProtection="1">
      <alignment horizontal="center" wrapText="1"/>
      <protection locked="0"/>
    </xf>
    <xf numFmtId="0" fontId="49" fillId="2" borderId="0" xfId="9" applyFont="1" applyFill="1" applyBorder="1" applyAlignment="1" applyProtection="1">
      <alignment horizontal="center" wrapText="1"/>
      <protection locked="0"/>
    </xf>
    <xf numFmtId="0" fontId="49" fillId="2" borderId="64" xfId="9" applyFont="1" applyFill="1" applyBorder="1" applyAlignment="1" applyProtection="1">
      <alignment horizontal="center" wrapText="1"/>
      <protection locked="0"/>
    </xf>
    <xf numFmtId="0" fontId="2" fillId="2" borderId="41" xfId="9" applyFont="1" applyFill="1" applyBorder="1" applyAlignment="1" applyProtection="1">
      <alignment horizontal="left" vertical="center" wrapText="1" indent="1"/>
      <protection locked="0"/>
    </xf>
    <xf numFmtId="0" fontId="2" fillId="2" borderId="24" xfId="9" applyFont="1" applyFill="1" applyBorder="1" applyAlignment="1" applyProtection="1">
      <alignment horizontal="left" vertical="center" wrapText="1" indent="1"/>
      <protection locked="0"/>
    </xf>
    <xf numFmtId="0" fontId="2" fillId="2" borderId="8" xfId="9" applyFont="1" applyFill="1" applyBorder="1" applyAlignment="1" applyProtection="1">
      <alignment horizontal="left" vertical="center" wrapText="1" indent="1"/>
      <protection locked="0"/>
    </xf>
    <xf numFmtId="0" fontId="2" fillId="2" borderId="77" xfId="9" applyFont="1" applyFill="1" applyBorder="1" applyAlignment="1" applyProtection="1">
      <alignment horizontal="left" vertical="center" wrapText="1" indent="1"/>
      <protection locked="0"/>
    </xf>
    <xf numFmtId="0" fontId="2" fillId="2" borderId="0" xfId="9" applyFont="1" applyFill="1" applyBorder="1" applyAlignment="1" applyProtection="1">
      <alignment horizontal="left" vertical="center" wrapText="1" indent="1"/>
      <protection locked="0"/>
    </xf>
    <xf numFmtId="0" fontId="2" fillId="2" borderId="75" xfId="9" applyFont="1" applyFill="1" applyBorder="1" applyAlignment="1" applyProtection="1">
      <alignment horizontal="left" vertical="center" wrapText="1" indent="1"/>
      <protection locked="0"/>
    </xf>
    <xf numFmtId="0" fontId="2" fillId="2" borderId="42" xfId="9" applyFont="1" applyFill="1" applyBorder="1" applyAlignment="1" applyProtection="1">
      <alignment horizontal="left" vertical="center" wrapText="1" indent="1"/>
      <protection locked="0"/>
    </xf>
    <xf numFmtId="0" fontId="2" fillId="2" borderId="23" xfId="9" applyFont="1" applyFill="1" applyBorder="1" applyAlignment="1" applyProtection="1">
      <alignment horizontal="left" vertical="center" wrapText="1" indent="1"/>
      <protection locked="0"/>
    </xf>
    <xf numFmtId="0" fontId="2" fillId="2" borderId="22" xfId="9" applyFont="1" applyFill="1" applyBorder="1" applyAlignment="1" applyProtection="1">
      <alignment horizontal="left" vertical="center" wrapText="1" indent="1"/>
      <protection locked="0"/>
    </xf>
    <xf numFmtId="0" fontId="2" fillId="2" borderId="77" xfId="9" applyFont="1" applyFill="1" applyBorder="1" applyAlignment="1" applyProtection="1">
      <alignment horizontal="left" vertical="center" indent="1"/>
      <protection locked="0"/>
    </xf>
    <xf numFmtId="0" fontId="2" fillId="2" borderId="0" xfId="9" applyFont="1" applyFill="1" applyBorder="1" applyAlignment="1" applyProtection="1">
      <alignment horizontal="left" vertical="center" indent="1"/>
      <protection locked="0"/>
    </xf>
    <xf numFmtId="0" fontId="2" fillId="2" borderId="75" xfId="9" applyFont="1" applyFill="1" applyBorder="1" applyAlignment="1" applyProtection="1">
      <alignment horizontal="left" vertical="center" indent="1"/>
      <protection locked="0"/>
    </xf>
    <xf numFmtId="0" fontId="2" fillId="2" borderId="42" xfId="9" applyFont="1" applyFill="1" applyBorder="1" applyAlignment="1" applyProtection="1">
      <alignment horizontal="left" vertical="center" indent="1"/>
      <protection locked="0"/>
    </xf>
    <xf numFmtId="0" fontId="2" fillId="2" borderId="23" xfId="9" applyFont="1" applyFill="1" applyBorder="1" applyAlignment="1" applyProtection="1">
      <alignment horizontal="left" vertical="center" indent="1"/>
      <protection locked="0"/>
    </xf>
    <xf numFmtId="0" fontId="2" fillId="2" borderId="22" xfId="9" applyFont="1" applyFill="1" applyBorder="1" applyAlignment="1" applyProtection="1">
      <alignment horizontal="left" vertical="center" indent="1"/>
      <protection locked="0"/>
    </xf>
    <xf numFmtId="0" fontId="12" fillId="28" borderId="41" xfId="9" applyFont="1" applyFill="1" applyBorder="1" applyAlignment="1" applyProtection="1">
      <alignment horizontal="left" vertical="center" indent="1"/>
      <protection locked="0"/>
    </xf>
    <xf numFmtId="0" fontId="12" fillId="28" borderId="24" xfId="9" applyFont="1" applyFill="1" applyBorder="1" applyAlignment="1" applyProtection="1">
      <alignment horizontal="left" vertical="center" indent="1"/>
      <protection locked="0"/>
    </xf>
    <xf numFmtId="0" fontId="12" fillId="28" borderId="8" xfId="9" applyFont="1" applyFill="1" applyBorder="1" applyAlignment="1" applyProtection="1">
      <alignment horizontal="left" vertical="center" indent="1"/>
      <protection locked="0"/>
    </xf>
    <xf numFmtId="0" fontId="12" fillId="28" borderId="77" xfId="9" applyFont="1" applyFill="1" applyBorder="1" applyAlignment="1" applyProtection="1">
      <alignment horizontal="left" vertical="center" indent="1"/>
      <protection locked="0"/>
    </xf>
    <xf numFmtId="0" fontId="12" fillId="28" borderId="0" xfId="9" applyFont="1" applyFill="1" applyBorder="1" applyAlignment="1" applyProtection="1">
      <alignment horizontal="left" vertical="center" indent="1"/>
      <protection locked="0"/>
    </xf>
    <xf numFmtId="0" fontId="12" fillId="28" borderId="75" xfId="9" applyFont="1" applyFill="1" applyBorder="1" applyAlignment="1" applyProtection="1">
      <alignment horizontal="left" vertical="center" indent="1"/>
      <protection locked="0"/>
    </xf>
    <xf numFmtId="0" fontId="50" fillId="2" borderId="77" xfId="1241" applyFont="1" applyFill="1" applyBorder="1" applyAlignment="1" applyProtection="1">
      <alignment horizontal="center" vertical="center" wrapText="1"/>
      <protection locked="0"/>
    </xf>
    <xf numFmtId="0" fontId="50" fillId="2" borderId="0" xfId="1241" applyFont="1" applyFill="1" applyBorder="1" applyAlignment="1" applyProtection="1">
      <alignment horizontal="center" vertical="center" wrapText="1"/>
      <protection locked="0"/>
    </xf>
    <xf numFmtId="0" fontId="50" fillId="2" borderId="75" xfId="1241" applyFont="1" applyFill="1" applyBorder="1" applyAlignment="1" applyProtection="1">
      <alignment horizontal="center" vertical="center" wrapText="1"/>
      <protection locked="0"/>
    </xf>
    <xf numFmtId="0" fontId="50" fillId="2" borderId="42" xfId="1241" applyFont="1" applyFill="1" applyBorder="1" applyAlignment="1" applyProtection="1">
      <alignment horizontal="center" vertical="center" wrapText="1"/>
      <protection locked="0"/>
    </xf>
    <xf numFmtId="0" fontId="50" fillId="2" borderId="23" xfId="1241" applyFont="1" applyFill="1" applyBorder="1" applyAlignment="1" applyProtection="1">
      <alignment horizontal="center" vertical="center" wrapText="1"/>
      <protection locked="0"/>
    </xf>
    <xf numFmtId="0" fontId="50" fillId="2" borderId="22" xfId="1241" applyFont="1" applyFill="1" applyBorder="1" applyAlignment="1" applyProtection="1">
      <alignment horizontal="center" vertical="center" wrapText="1"/>
      <protection locked="0"/>
    </xf>
    <xf numFmtId="0" fontId="20" fillId="4" borderId="73" xfId="9" applyFont="1" applyFill="1" applyBorder="1" applyAlignment="1" applyProtection="1">
      <alignment horizontal="center" vertical="center"/>
      <protection locked="0"/>
    </xf>
    <xf numFmtId="0" fontId="20" fillId="4" borderId="43" xfId="9" applyFont="1" applyFill="1" applyBorder="1" applyAlignment="1" applyProtection="1">
      <alignment horizontal="center" vertical="center"/>
      <protection locked="0"/>
    </xf>
    <xf numFmtId="0" fontId="20" fillId="4" borderId="74" xfId="9" applyFont="1" applyFill="1" applyBorder="1" applyAlignment="1" applyProtection="1">
      <alignment horizontal="center" vertical="center"/>
      <protection locked="0"/>
    </xf>
    <xf numFmtId="0" fontId="20" fillId="4" borderId="26" xfId="9" applyFont="1" applyFill="1" applyBorder="1" applyAlignment="1" applyProtection="1">
      <alignment horizontal="center" vertical="center"/>
      <protection locked="0"/>
    </xf>
    <xf numFmtId="0" fontId="20" fillId="4" borderId="0" xfId="9" applyFont="1" applyFill="1" applyBorder="1" applyAlignment="1" applyProtection="1">
      <alignment horizontal="center" vertical="center"/>
      <protection locked="0"/>
    </xf>
    <xf numFmtId="0" fontId="20" fillId="4" borderId="64" xfId="9" applyFont="1" applyFill="1" applyBorder="1" applyAlignment="1" applyProtection="1">
      <alignment horizontal="center" vertical="center"/>
      <protection locked="0"/>
    </xf>
    <xf numFmtId="0" fontId="51" fillId="39" borderId="2" xfId="0" applyFont="1" applyFill="1" applyBorder="1" applyAlignment="1" applyProtection="1">
      <alignment horizontal="center"/>
      <protection locked="0"/>
    </xf>
    <xf numFmtId="0" fontId="51" fillId="39" borderId="3" xfId="0" applyFont="1" applyFill="1" applyBorder="1" applyAlignment="1" applyProtection="1">
      <alignment horizontal="center"/>
      <protection locked="0"/>
    </xf>
    <xf numFmtId="0" fontId="51" fillId="39" borderId="7" xfId="0" applyFont="1" applyFill="1" applyBorder="1" applyAlignment="1" applyProtection="1">
      <alignment horizontal="center"/>
      <protection locked="0"/>
    </xf>
    <xf numFmtId="0" fontId="20" fillId="40" borderId="9" xfId="9" applyFont="1" applyFill="1" applyBorder="1" applyAlignment="1" applyProtection="1">
      <alignment horizontal="center" vertical="center"/>
      <protection locked="0"/>
    </xf>
    <xf numFmtId="0" fontId="20" fillId="40" borderId="0" xfId="9" applyFont="1" applyFill="1" applyBorder="1" applyAlignment="1" applyProtection="1">
      <alignment horizontal="center" vertical="center"/>
      <protection locked="0"/>
    </xf>
    <xf numFmtId="0" fontId="20" fillId="40" borderId="13" xfId="9" applyFont="1" applyFill="1" applyBorder="1" applyAlignment="1" applyProtection="1">
      <alignment horizontal="center" vertical="center"/>
      <protection locked="0"/>
    </xf>
    <xf numFmtId="0" fontId="20" fillId="40" borderId="27" xfId="9" applyFont="1" applyFill="1" applyBorder="1" applyAlignment="1" applyProtection="1">
      <alignment horizontal="center" vertical="center"/>
      <protection locked="0"/>
    </xf>
    <xf numFmtId="0" fontId="20" fillId="40" borderId="25" xfId="9" applyFont="1" applyFill="1" applyBorder="1" applyAlignment="1" applyProtection="1">
      <alignment horizontal="center" vertical="center"/>
      <protection locked="0"/>
    </xf>
    <xf numFmtId="0" fontId="20" fillId="40" borderId="28" xfId="9" applyFont="1" applyFill="1" applyBorder="1" applyAlignment="1" applyProtection="1">
      <alignment horizontal="center" vertical="center"/>
      <protection locked="0"/>
    </xf>
    <xf numFmtId="0" fontId="2" fillId="2" borderId="41" xfId="9" applyFont="1" applyFill="1" applyBorder="1" applyAlignment="1" applyProtection="1">
      <alignment horizontal="left" vertical="center" indent="1"/>
      <protection locked="0"/>
    </xf>
    <xf numFmtId="0" fontId="2" fillId="2" borderId="24" xfId="9" applyFont="1" applyFill="1" applyBorder="1" applyAlignment="1" applyProtection="1">
      <alignment horizontal="left" vertical="center" indent="1"/>
      <protection locked="0"/>
    </xf>
    <xf numFmtId="0" fontId="2" fillId="2" borderId="8" xfId="9" applyFont="1" applyFill="1" applyBorder="1" applyAlignment="1" applyProtection="1">
      <alignment horizontal="left" vertical="center" indent="1"/>
      <protection locked="0"/>
    </xf>
    <xf numFmtId="0" fontId="0" fillId="43" borderId="1" xfId="0" applyFill="1" applyBorder="1" applyAlignment="1">
      <alignment horizontal="center" vertical="center" wrapText="1"/>
    </xf>
    <xf numFmtId="0" fontId="0" fillId="43" borderId="52" xfId="0" applyFill="1" applyBorder="1" applyAlignment="1">
      <alignment horizontal="center" vertical="center" wrapText="1"/>
    </xf>
    <xf numFmtId="0" fontId="0" fillId="2" borderId="76" xfId="0" applyFill="1" applyBorder="1" applyAlignment="1">
      <alignment horizontal="left" vertical="center" wrapText="1" indent="1"/>
    </xf>
    <xf numFmtId="0" fontId="0" fillId="2" borderId="24" xfId="0" applyFill="1" applyBorder="1" applyAlignment="1">
      <alignment horizontal="left" vertical="center" wrapText="1" indent="1"/>
    </xf>
    <xf numFmtId="0" fontId="0" fillId="2" borderId="8" xfId="0" applyFill="1" applyBorder="1" applyAlignment="1">
      <alignment horizontal="left" vertical="center" wrapText="1" indent="1"/>
    </xf>
    <xf numFmtId="0" fontId="0" fillId="2" borderId="26" xfId="0" applyFill="1" applyBorder="1" applyAlignment="1">
      <alignment horizontal="left" vertical="center" wrapText="1" indent="1"/>
    </xf>
    <xf numFmtId="0" fontId="0" fillId="2" borderId="0" xfId="0" applyFill="1" applyBorder="1" applyAlignment="1">
      <alignment horizontal="left" vertical="center" wrapText="1" indent="1"/>
    </xf>
    <xf numFmtId="0" fontId="0" fillId="2" borderId="75" xfId="0" applyFill="1" applyBorder="1" applyAlignment="1">
      <alignment horizontal="left" vertical="center" wrapText="1" indent="1"/>
    </xf>
    <xf numFmtId="0" fontId="0" fillId="2" borderId="65" xfId="0" applyFill="1" applyBorder="1" applyAlignment="1">
      <alignment horizontal="left" vertical="center" wrapText="1" indent="1"/>
    </xf>
    <xf numFmtId="0" fontId="0" fillId="2" borderId="23" xfId="0" applyFill="1" applyBorder="1" applyAlignment="1">
      <alignment horizontal="left" vertical="center" wrapText="1" indent="1"/>
    </xf>
    <xf numFmtId="0" fontId="0" fillId="2" borderId="22" xfId="0" applyFill="1" applyBorder="1" applyAlignment="1">
      <alignment horizontal="left" vertical="center" wrapText="1" indent="1"/>
    </xf>
    <xf numFmtId="0" fontId="48" fillId="43" borderId="1" xfId="0" applyFont="1" applyFill="1" applyBorder="1" applyAlignment="1">
      <alignment horizontal="center" vertical="center" wrapText="1"/>
    </xf>
    <xf numFmtId="0" fontId="48" fillId="43" borderId="1" xfId="0" applyFont="1" applyFill="1" applyBorder="1" applyAlignment="1">
      <alignment horizontal="left" vertical="center" wrapText="1" indent="1"/>
    </xf>
    <xf numFmtId="0" fontId="0" fillId="2" borderId="64" xfId="0" applyFill="1" applyBorder="1" applyAlignment="1">
      <alignment horizontal="left" vertical="center" wrapText="1" indent="1"/>
    </xf>
    <xf numFmtId="0" fontId="55" fillId="43" borderId="1" xfId="0" applyFont="1" applyFill="1" applyBorder="1" applyAlignment="1">
      <alignment horizontal="center" vertical="center" wrapText="1"/>
    </xf>
    <xf numFmtId="0" fontId="55" fillId="43" borderId="67" xfId="0" applyFont="1" applyFill="1" applyBorder="1" applyAlignment="1">
      <alignment horizontal="center" vertical="center" wrapText="1"/>
    </xf>
    <xf numFmtId="0" fontId="55" fillId="43" borderId="1" xfId="0" applyFont="1" applyFill="1" applyBorder="1" applyAlignment="1">
      <alignment horizontal="left" vertical="center" wrapText="1" indent="1"/>
    </xf>
    <xf numFmtId="0" fontId="57" fillId="43" borderId="41" xfId="0" applyFont="1" applyFill="1" applyBorder="1" applyAlignment="1">
      <alignment horizontal="center" vertical="top" wrapText="1"/>
    </xf>
    <xf numFmtId="0" fontId="57" fillId="43" borderId="24" xfId="0" applyFont="1" applyFill="1" applyBorder="1" applyAlignment="1">
      <alignment horizontal="center" vertical="top" wrapText="1"/>
    </xf>
    <xf numFmtId="0" fontId="57" fillId="43" borderId="8" xfId="0" applyFont="1" applyFill="1" applyBorder="1" applyAlignment="1">
      <alignment horizontal="center" vertical="top" wrapText="1"/>
    </xf>
    <xf numFmtId="0" fontId="55" fillId="43" borderId="65" xfId="0" applyFont="1" applyFill="1" applyBorder="1" applyAlignment="1">
      <alignment horizontal="center" vertical="center" wrapText="1"/>
    </xf>
    <xf numFmtId="0" fontId="55" fillId="43" borderId="23" xfId="0" applyFont="1" applyFill="1" applyBorder="1" applyAlignment="1">
      <alignment horizontal="center" vertical="center" wrapText="1"/>
    </xf>
    <xf numFmtId="0" fontId="55" fillId="43" borderId="22" xfId="0" applyFont="1" applyFill="1" applyBorder="1" applyAlignment="1">
      <alignment horizontal="center" vertical="center" wrapText="1"/>
    </xf>
    <xf numFmtId="0" fontId="14" fillId="39" borderId="59" xfId="9" applyFont="1" applyFill="1" applyBorder="1" applyAlignment="1">
      <alignment horizontal="center" vertical="center" wrapText="1"/>
    </xf>
    <xf numFmtId="0" fontId="14" fillId="39" borderId="7" xfId="9" applyFont="1" applyFill="1" applyBorder="1" applyAlignment="1">
      <alignment horizontal="center" vertical="center" wrapText="1"/>
    </xf>
    <xf numFmtId="0" fontId="14" fillId="39" borderId="29" xfId="9" applyFont="1" applyFill="1" applyBorder="1" applyAlignment="1">
      <alignment horizontal="center" vertical="center" wrapText="1"/>
    </xf>
    <xf numFmtId="0" fontId="12" fillId="42" borderId="59" xfId="9" applyFont="1" applyFill="1" applyBorder="1" applyAlignment="1">
      <alignment horizontal="center" vertical="center" wrapText="1"/>
    </xf>
    <xf numFmtId="0" fontId="12" fillId="42" borderId="7" xfId="9" applyFont="1" applyFill="1" applyBorder="1" applyAlignment="1">
      <alignment horizontal="center" vertical="center" wrapText="1"/>
    </xf>
    <xf numFmtId="0" fontId="12" fillId="42" borderId="29" xfId="9" applyFont="1" applyFill="1" applyBorder="1" applyAlignment="1">
      <alignment horizontal="center" vertical="center" wrapText="1"/>
    </xf>
    <xf numFmtId="0" fontId="55" fillId="43" borderId="42" xfId="0" applyFont="1" applyFill="1" applyBorder="1" applyAlignment="1">
      <alignment horizontal="center" vertical="center" wrapText="1"/>
    </xf>
    <xf numFmtId="0" fontId="58" fillId="43" borderId="2" xfId="0" applyFont="1" applyFill="1" applyBorder="1" applyAlignment="1">
      <alignment horizontal="center" vertical="top" wrapText="1"/>
    </xf>
    <xf numFmtId="0" fontId="58" fillId="43" borderId="7" xfId="0" applyFont="1" applyFill="1" applyBorder="1" applyAlignment="1">
      <alignment horizontal="center" vertical="top" wrapText="1"/>
    </xf>
    <xf numFmtId="0" fontId="58" fillId="43" borderId="3" xfId="0" applyFont="1" applyFill="1" applyBorder="1" applyAlignment="1">
      <alignment horizontal="center" vertical="top" wrapText="1"/>
    </xf>
    <xf numFmtId="0" fontId="57" fillId="43" borderId="2" xfId="0" applyFont="1" applyFill="1" applyBorder="1" applyAlignment="1">
      <alignment horizontal="center" vertical="top" wrapText="1"/>
    </xf>
    <xf numFmtId="0" fontId="57" fillId="43" borderId="7" xfId="0" applyFont="1" applyFill="1" applyBorder="1" applyAlignment="1">
      <alignment horizontal="center" vertical="top" wrapText="1"/>
    </xf>
    <xf numFmtId="0" fontId="57" fillId="43" borderId="3" xfId="0" applyFont="1" applyFill="1" applyBorder="1" applyAlignment="1">
      <alignment horizontal="center" vertical="top" wrapText="1"/>
    </xf>
    <xf numFmtId="0" fontId="48" fillId="43" borderId="79" xfId="0" applyFont="1" applyFill="1" applyBorder="1" applyAlignment="1">
      <alignment horizontal="left" vertical="center" wrapText="1" indent="1"/>
    </xf>
    <xf numFmtId="0" fontId="48" fillId="43" borderId="52" xfId="0" applyFont="1" applyFill="1" applyBorder="1" applyAlignment="1">
      <alignment horizontal="left" vertical="center" wrapText="1" indent="1"/>
    </xf>
    <xf numFmtId="0" fontId="48" fillId="43" borderId="52" xfId="0" applyFont="1" applyFill="1" applyBorder="1" applyAlignment="1">
      <alignment horizontal="center" vertical="top" wrapText="1"/>
    </xf>
    <xf numFmtId="9" fontId="48" fillId="43" borderId="52" xfId="0" applyNumberFormat="1" applyFont="1" applyFill="1" applyBorder="1" applyAlignment="1">
      <alignment horizontal="center" vertical="top" wrapText="1"/>
    </xf>
    <xf numFmtId="0" fontId="0" fillId="2" borderId="30" xfId="0" applyFill="1" applyBorder="1" applyAlignment="1">
      <alignment horizontal="left" vertical="center" wrapText="1" indent="1"/>
    </xf>
    <xf numFmtId="0" fontId="0" fillId="2" borderId="31" xfId="0" applyFill="1" applyBorder="1" applyAlignment="1">
      <alignment horizontal="left" vertical="center" wrapText="1" indent="1"/>
    </xf>
    <xf numFmtId="0" fontId="48" fillId="43" borderId="68" xfId="0" applyFont="1" applyFill="1" applyBorder="1" applyAlignment="1">
      <alignment horizontal="left" vertical="center" wrapText="1" indent="1"/>
    </xf>
    <xf numFmtId="0" fontId="48" fillId="43" borderId="1" xfId="0" applyFont="1" applyFill="1" applyBorder="1" applyAlignment="1">
      <alignment horizontal="center" vertical="top" wrapText="1"/>
    </xf>
    <xf numFmtId="9" fontId="48" fillId="43" borderId="1" xfId="0" applyNumberFormat="1" applyFont="1" applyFill="1" applyBorder="1" applyAlignment="1">
      <alignment horizontal="center" vertical="top" wrapText="1"/>
    </xf>
    <xf numFmtId="0" fontId="55" fillId="43" borderId="78" xfId="0" applyFont="1" applyFill="1" applyBorder="1" applyAlignment="1">
      <alignment horizontal="left" vertical="center" wrapText="1" indent="1"/>
    </xf>
    <xf numFmtId="0" fontId="55" fillId="43" borderId="53" xfId="0" applyFont="1" applyFill="1" applyBorder="1" applyAlignment="1">
      <alignment horizontal="left" vertical="center" wrapText="1" indent="1"/>
    </xf>
    <xf numFmtId="0" fontId="55" fillId="43" borderId="53" xfId="0" applyFont="1" applyFill="1" applyBorder="1" applyAlignment="1">
      <alignment horizontal="center" vertical="center" wrapText="1"/>
    </xf>
    <xf numFmtId="0" fontId="0" fillId="2" borderId="0" xfId="0" applyFill="1" applyBorder="1" applyAlignment="1">
      <alignment horizontal="left" wrapText="1" indent="1"/>
    </xf>
    <xf numFmtId="0" fontId="55" fillId="43" borderId="2" xfId="0" applyFont="1" applyFill="1" applyBorder="1" applyAlignment="1">
      <alignment horizontal="center" vertical="center" wrapText="1"/>
    </xf>
    <xf numFmtId="0" fontId="55" fillId="43" borderId="7" xfId="0" applyFont="1" applyFill="1" applyBorder="1" applyAlignment="1">
      <alignment horizontal="center" vertical="center" wrapText="1"/>
    </xf>
    <xf numFmtId="0" fontId="55" fillId="43" borderId="3" xfId="0" applyFont="1" applyFill="1" applyBorder="1" applyAlignment="1">
      <alignment horizontal="center" vertical="center" wrapText="1"/>
    </xf>
    <xf numFmtId="0" fontId="55" fillId="43" borderId="1" xfId="0" applyFont="1" applyFill="1" applyBorder="1" applyAlignment="1">
      <alignment horizontal="center" vertical="top" wrapText="1"/>
    </xf>
    <xf numFmtId="0" fontId="0" fillId="2" borderId="59" xfId="0" applyFill="1" applyBorder="1" applyAlignment="1">
      <alignment horizontal="left" vertical="center" wrapText="1" indent="1"/>
    </xf>
    <xf numFmtId="0" fontId="0" fillId="2" borderId="7" xfId="0" applyFill="1" applyBorder="1" applyAlignment="1">
      <alignment horizontal="left" vertical="center" wrapText="1" indent="1"/>
    </xf>
    <xf numFmtId="0" fontId="0" fillId="2" borderId="29" xfId="0" applyFill="1" applyBorder="1" applyAlignment="1">
      <alignment horizontal="left" vertical="center" wrapText="1" indent="1"/>
    </xf>
    <xf numFmtId="0" fontId="0" fillId="2" borderId="2" xfId="0" applyFill="1" applyBorder="1" applyAlignment="1">
      <alignment horizontal="left" vertical="center" wrapText="1" indent="1"/>
    </xf>
    <xf numFmtId="0" fontId="0" fillId="2" borderId="3" xfId="0" applyFill="1" applyBorder="1" applyAlignment="1">
      <alignment horizontal="left" vertical="center" wrapText="1" indent="1"/>
    </xf>
    <xf numFmtId="0" fontId="55" fillId="43" borderId="68" xfId="0" applyFont="1" applyFill="1" applyBorder="1" applyAlignment="1">
      <alignment horizontal="left" vertical="center" wrapText="1" indent="1"/>
    </xf>
    <xf numFmtId="0" fontId="59" fillId="2" borderId="76" xfId="0" applyFont="1" applyFill="1" applyBorder="1" applyAlignment="1">
      <alignment horizontal="left" vertical="center" indent="1"/>
    </xf>
    <xf numFmtId="0" fontId="59" fillId="2" borderId="24" xfId="0" applyFont="1" applyFill="1" applyBorder="1" applyAlignment="1">
      <alignment horizontal="left" vertical="center" indent="1"/>
    </xf>
    <xf numFmtId="0" fontId="59" fillId="2" borderId="30" xfId="0" applyFont="1" applyFill="1" applyBorder="1" applyAlignment="1">
      <alignment horizontal="left" vertical="center" indent="1"/>
    </xf>
    <xf numFmtId="0" fontId="0" fillId="2" borderId="41" xfId="0" applyFill="1" applyBorder="1" applyAlignment="1">
      <alignment horizontal="left" vertical="center" wrapText="1" indent="1"/>
    </xf>
    <xf numFmtId="0" fontId="0" fillId="2" borderId="42" xfId="0" applyFill="1" applyBorder="1" applyAlignment="1">
      <alignment horizontal="left" vertical="center" wrapText="1" indent="1"/>
    </xf>
    <xf numFmtId="0" fontId="55" fillId="43" borderId="59" xfId="0" applyFont="1" applyFill="1" applyBorder="1" applyAlignment="1">
      <alignment horizontal="center" vertical="center" wrapText="1"/>
    </xf>
    <xf numFmtId="0" fontId="0" fillId="43" borderId="41" xfId="0" applyFill="1" applyBorder="1" applyAlignment="1">
      <alignment horizontal="center" vertical="center" wrapText="1"/>
    </xf>
    <xf numFmtId="0" fontId="0" fillId="43" borderId="30" xfId="0" applyFill="1" applyBorder="1" applyAlignment="1">
      <alignment horizontal="center" vertical="center" wrapText="1"/>
    </xf>
    <xf numFmtId="0" fontId="0" fillId="43" borderId="77" xfId="0" applyFill="1" applyBorder="1" applyAlignment="1">
      <alignment horizontal="center" vertical="center" wrapText="1"/>
    </xf>
    <xf numFmtId="0" fontId="0" fillId="43" borderId="64" xfId="0" applyFill="1" applyBorder="1" applyAlignment="1">
      <alignment horizontal="center" vertical="center" wrapText="1"/>
    </xf>
    <xf numFmtId="0" fontId="0" fillId="43" borderId="42" xfId="0" applyFill="1" applyBorder="1" applyAlignment="1">
      <alignment horizontal="center" vertical="center" wrapText="1"/>
    </xf>
    <xf numFmtId="0" fontId="0" fillId="43" borderId="31" xfId="0" applyFill="1" applyBorder="1" applyAlignment="1">
      <alignment horizontal="center" vertical="center" wrapText="1"/>
    </xf>
    <xf numFmtId="0" fontId="0" fillId="43" borderId="79" xfId="0" applyFill="1" applyBorder="1" applyAlignment="1">
      <alignment horizontal="center" vertical="center" wrapText="1"/>
    </xf>
    <xf numFmtId="0" fontId="0" fillId="43" borderId="72" xfId="0" applyFill="1" applyBorder="1" applyAlignment="1">
      <alignment horizontal="center" vertical="center" wrapText="1"/>
    </xf>
    <xf numFmtId="0" fontId="0" fillId="43" borderId="78" xfId="0" applyFill="1" applyBorder="1" applyAlignment="1">
      <alignment horizontal="center" vertical="center" wrapText="1"/>
    </xf>
    <xf numFmtId="166" fontId="0" fillId="43" borderId="2" xfId="0" applyNumberFormat="1" applyFill="1" applyBorder="1" applyAlignment="1">
      <alignment horizontal="center" vertical="center"/>
    </xf>
    <xf numFmtId="166" fontId="0" fillId="43" borderId="7" xfId="0" applyNumberFormat="1" applyFill="1" applyBorder="1" applyAlignment="1">
      <alignment horizontal="center" vertical="center"/>
    </xf>
    <xf numFmtId="166" fontId="0" fillId="43" borderId="3" xfId="0" applyNumberFormat="1" applyFill="1" applyBorder="1" applyAlignment="1">
      <alignment horizontal="center" vertical="center"/>
    </xf>
    <xf numFmtId="0" fontId="0" fillId="43" borderId="2" xfId="0" applyFill="1" applyBorder="1" applyAlignment="1">
      <alignment horizontal="center" vertical="center"/>
    </xf>
    <xf numFmtId="0" fontId="0" fillId="43" borderId="3" xfId="0" applyFill="1" applyBorder="1" applyAlignment="1">
      <alignment horizontal="center" vertical="center"/>
    </xf>
    <xf numFmtId="0" fontId="0" fillId="0" borderId="24" xfId="0" applyBorder="1" applyAlignment="1">
      <alignment horizontal="left" indent="1"/>
    </xf>
    <xf numFmtId="0" fontId="0" fillId="0" borderId="8" xfId="0" applyBorder="1" applyAlignment="1">
      <alignment horizontal="left" indent="1"/>
    </xf>
    <xf numFmtId="0" fontId="0" fillId="0" borderId="26" xfId="0" applyBorder="1" applyAlignment="1">
      <alignment horizontal="left" indent="1"/>
    </xf>
    <xf numFmtId="0" fontId="0" fillId="0" borderId="0" xfId="0" applyAlignment="1">
      <alignment horizontal="left" indent="1"/>
    </xf>
    <xf numFmtId="0" fontId="0" fillId="0" borderId="75" xfId="0" applyBorder="1" applyAlignment="1">
      <alignment horizontal="left" indent="1"/>
    </xf>
    <xf numFmtId="0" fontId="0" fillId="0" borderId="65" xfId="0" applyBorder="1" applyAlignment="1">
      <alignment horizontal="left" indent="1"/>
    </xf>
    <xf numFmtId="0" fontId="0" fillId="0" borderId="23" xfId="0" applyBorder="1" applyAlignment="1">
      <alignment horizontal="left" indent="1"/>
    </xf>
    <xf numFmtId="0" fontId="0" fillId="0" borderId="22" xfId="0" applyBorder="1" applyAlignment="1">
      <alignment horizontal="left" indent="1"/>
    </xf>
    <xf numFmtId="0" fontId="54" fillId="43" borderId="1" xfId="0" applyFont="1" applyFill="1" applyBorder="1" applyAlignment="1">
      <alignment horizontal="center"/>
    </xf>
    <xf numFmtId="0" fontId="54" fillId="43" borderId="67" xfId="0" applyFont="1" applyFill="1" applyBorder="1" applyAlignment="1">
      <alignment horizontal="center"/>
    </xf>
    <xf numFmtId="0" fontId="59" fillId="2" borderId="76" xfId="0" applyFont="1" applyFill="1" applyBorder="1" applyAlignment="1">
      <alignment horizontal="left" vertical="center" wrapText="1" indent="1"/>
    </xf>
    <xf numFmtId="0" fontId="59" fillId="2" borderId="24" xfId="0" applyFont="1" applyFill="1" applyBorder="1" applyAlignment="1">
      <alignment horizontal="left" vertical="center" wrapText="1" indent="1"/>
    </xf>
    <xf numFmtId="0" fontId="59" fillId="2" borderId="8" xfId="0" applyFont="1" applyFill="1" applyBorder="1" applyAlignment="1">
      <alignment horizontal="left" vertical="center" wrapText="1" indent="1"/>
    </xf>
    <xf numFmtId="0" fontId="20" fillId="4" borderId="73" xfId="9" applyFont="1" applyFill="1" applyBorder="1" applyAlignment="1">
      <alignment horizontal="center" vertical="center"/>
    </xf>
    <xf numFmtId="0" fontId="20" fillId="4" borderId="43" xfId="9" applyFont="1" applyFill="1" applyBorder="1" applyAlignment="1">
      <alignment horizontal="center" vertical="center"/>
    </xf>
    <xf numFmtId="0" fontId="20" fillId="4" borderId="74" xfId="9" applyFont="1" applyFill="1" applyBorder="1" applyAlignment="1">
      <alignment horizontal="center" vertical="center"/>
    </xf>
    <xf numFmtId="0" fontId="20" fillId="4" borderId="63" xfId="9" applyFont="1" applyFill="1" applyBorder="1" applyAlignment="1">
      <alignment horizontal="center" vertical="center"/>
    </xf>
    <xf numFmtId="0" fontId="20" fillId="4" borderId="25" xfId="9" applyFont="1" applyFill="1" applyBorder="1" applyAlignment="1">
      <alignment horizontal="center" vertical="center"/>
    </xf>
    <xf numFmtId="0" fontId="20" fillId="4" borderId="4" xfId="9" applyFont="1" applyFill="1" applyBorder="1" applyAlignment="1">
      <alignment horizontal="center" vertical="center"/>
    </xf>
    <xf numFmtId="0" fontId="20" fillId="41" borderId="26" xfId="9" applyFont="1" applyFill="1" applyBorder="1" applyAlignment="1">
      <alignment horizontal="center" vertical="center"/>
    </xf>
    <xf numFmtId="0" fontId="20" fillId="41" borderId="0" xfId="9" applyFont="1" applyFill="1" applyBorder="1" applyAlignment="1">
      <alignment horizontal="center" vertical="center"/>
    </xf>
    <xf numFmtId="0" fontId="20" fillId="41" borderId="64" xfId="9" applyFont="1" applyFill="1" applyBorder="1" applyAlignment="1">
      <alignment horizontal="center" vertical="center"/>
    </xf>
    <xf numFmtId="0" fontId="20" fillId="41" borderId="63" xfId="9" applyFont="1" applyFill="1" applyBorder="1" applyAlignment="1">
      <alignment horizontal="center" vertical="center"/>
    </xf>
    <xf numFmtId="0" fontId="20" fillId="41" borderId="25" xfId="9" applyFont="1" applyFill="1" applyBorder="1" applyAlignment="1">
      <alignment horizontal="center" vertical="center"/>
    </xf>
    <xf numFmtId="0" fontId="20" fillId="41" borderId="4" xfId="9" applyFont="1" applyFill="1" applyBorder="1" applyAlignment="1">
      <alignment horizontal="center" vertical="center"/>
    </xf>
    <xf numFmtId="0" fontId="0" fillId="2" borderId="26" xfId="0" applyFill="1" applyBorder="1" applyAlignment="1">
      <alignment horizontal="left" indent="1"/>
    </xf>
    <xf numFmtId="0" fontId="0" fillId="2" borderId="0" xfId="0" applyFill="1" applyBorder="1" applyAlignment="1">
      <alignment horizontal="left" indent="1"/>
    </xf>
    <xf numFmtId="0" fontId="0" fillId="2" borderId="64" xfId="0" applyFill="1" applyBorder="1" applyAlignment="1">
      <alignment horizontal="left" indent="1"/>
    </xf>
    <xf numFmtId="0" fontId="0" fillId="2" borderId="65" xfId="0" applyFill="1" applyBorder="1" applyAlignment="1">
      <alignment horizontal="left" indent="1"/>
    </xf>
    <xf numFmtId="0" fontId="0" fillId="2" borderId="23" xfId="0" applyFill="1" applyBorder="1" applyAlignment="1">
      <alignment horizontal="left" indent="1"/>
    </xf>
    <xf numFmtId="0" fontId="0" fillId="2" borderId="31" xfId="0" applyFill="1" applyBorder="1" applyAlignment="1">
      <alignment horizontal="left" indent="1"/>
    </xf>
    <xf numFmtId="0" fontId="54" fillId="43" borderId="1" xfId="0" applyFont="1" applyFill="1" applyBorder="1" applyAlignment="1">
      <alignment horizontal="center" vertical="center" wrapText="1"/>
    </xf>
    <xf numFmtId="0" fontId="0" fillId="2" borderId="23" xfId="0" applyFont="1" applyFill="1" applyBorder="1" applyAlignment="1">
      <alignment horizontal="left" vertical="center" wrapText="1" indent="1"/>
    </xf>
    <xf numFmtId="0" fontId="0" fillId="2" borderId="31" xfId="0" applyFont="1" applyFill="1" applyBorder="1" applyAlignment="1">
      <alignment horizontal="left" vertical="center" wrapText="1" indent="1"/>
    </xf>
    <xf numFmtId="0" fontId="59" fillId="2" borderId="30" xfId="0" applyFont="1" applyFill="1" applyBorder="1" applyAlignment="1">
      <alignment horizontal="left" vertical="center" wrapText="1" indent="1"/>
    </xf>
    <xf numFmtId="9" fontId="0" fillId="43" borderId="2" xfId="0" applyNumberFormat="1" applyFill="1" applyBorder="1" applyAlignment="1">
      <alignment horizontal="center" wrapText="1"/>
    </xf>
    <xf numFmtId="9" fontId="0" fillId="43" borderId="7" xfId="0" applyNumberFormat="1" applyFill="1" applyBorder="1" applyAlignment="1">
      <alignment horizontal="center" wrapText="1"/>
    </xf>
    <xf numFmtId="9" fontId="0" fillId="43" borderId="29" xfId="0" applyNumberFormat="1" applyFill="1" applyBorder="1" applyAlignment="1">
      <alignment horizontal="center" wrapText="1"/>
    </xf>
    <xf numFmtId="0" fontId="54" fillId="43" borderId="41" xfId="0" applyFont="1" applyFill="1" applyBorder="1" applyAlignment="1">
      <alignment horizontal="center" vertical="center" wrapText="1"/>
    </xf>
    <xf numFmtId="0" fontId="54" fillId="43" borderId="24" xfId="0" applyFont="1" applyFill="1" applyBorder="1" applyAlignment="1">
      <alignment horizontal="center" vertical="center" wrapText="1"/>
    </xf>
    <xf numFmtId="0" fontId="54" fillId="43" borderId="30" xfId="0" applyFont="1" applyFill="1" applyBorder="1" applyAlignment="1">
      <alignment horizontal="center" vertical="center" wrapText="1"/>
    </xf>
    <xf numFmtId="0" fontId="54" fillId="43" borderId="67" xfId="0" applyFont="1" applyFill="1" applyBorder="1" applyAlignment="1">
      <alignment horizontal="center" vertical="center" wrapText="1"/>
    </xf>
    <xf numFmtId="0" fontId="0" fillId="2" borderId="26" xfId="0" applyFill="1" applyBorder="1" applyAlignment="1">
      <alignment horizontal="left" wrapText="1" indent="1"/>
    </xf>
    <xf numFmtId="0" fontId="0" fillId="2" borderId="64" xfId="0" applyFill="1" applyBorder="1" applyAlignment="1">
      <alignment horizontal="left" wrapText="1" indent="1"/>
    </xf>
    <xf numFmtId="0" fontId="0" fillId="2" borderId="65" xfId="0" applyFill="1" applyBorder="1" applyAlignment="1">
      <alignment horizontal="left" wrapText="1" indent="1"/>
    </xf>
    <xf numFmtId="0" fontId="0" fillId="2" borderId="23" xfId="0" applyFill="1" applyBorder="1" applyAlignment="1">
      <alignment horizontal="left" wrapText="1" indent="1"/>
    </xf>
    <xf numFmtId="0" fontId="0" fillId="2" borderId="31" xfId="0" applyFill="1" applyBorder="1" applyAlignment="1">
      <alignment horizontal="left" wrapText="1" indent="1"/>
    </xf>
    <xf numFmtId="0" fontId="48" fillId="43" borderId="41" xfId="0" applyFont="1" applyFill="1" applyBorder="1" applyAlignment="1">
      <alignment horizontal="center" vertical="center" wrapText="1"/>
    </xf>
    <xf numFmtId="0" fontId="48" fillId="43" borderId="24" xfId="0" applyFont="1" applyFill="1" applyBorder="1" applyAlignment="1">
      <alignment horizontal="center" vertical="center" wrapText="1"/>
    </xf>
    <xf numFmtId="0" fontId="48" fillId="43" borderId="30" xfId="0" applyFont="1" applyFill="1" applyBorder="1" applyAlignment="1">
      <alignment horizontal="center" vertical="center" wrapText="1"/>
    </xf>
    <xf numFmtId="0" fontId="48" fillId="43" borderId="42" xfId="0" applyFont="1" applyFill="1" applyBorder="1" applyAlignment="1">
      <alignment horizontal="center" vertical="center" wrapText="1"/>
    </xf>
    <xf numFmtId="0" fontId="48" fillId="43" borderId="23" xfId="0" applyFont="1" applyFill="1" applyBorder="1" applyAlignment="1">
      <alignment horizontal="center" vertical="center" wrapText="1"/>
    </xf>
    <xf numFmtId="0" fontId="48" fillId="43" borderId="31" xfId="0" applyFont="1" applyFill="1" applyBorder="1" applyAlignment="1">
      <alignment horizontal="center" vertical="center" wrapText="1"/>
    </xf>
    <xf numFmtId="0" fontId="55" fillId="43" borderId="67" xfId="0" applyFont="1" applyFill="1" applyBorder="1" applyAlignment="1">
      <alignment horizontal="center" vertical="top" wrapText="1"/>
    </xf>
    <xf numFmtId="0" fontId="48" fillId="43" borderId="77" xfId="0" applyFont="1" applyFill="1" applyBorder="1" applyAlignment="1">
      <alignment horizontal="center" vertical="center" wrapText="1"/>
    </xf>
    <xf numFmtId="0" fontId="48" fillId="43" borderId="0" xfId="0" applyFont="1" applyFill="1" applyBorder="1" applyAlignment="1">
      <alignment horizontal="center" vertical="center" wrapText="1"/>
    </xf>
    <xf numFmtId="0" fontId="48" fillId="43" borderId="64" xfId="0" applyFont="1" applyFill="1" applyBorder="1" applyAlignment="1">
      <alignment horizontal="center" vertical="center" wrapText="1"/>
    </xf>
    <xf numFmtId="0" fontId="0" fillId="43" borderId="59" xfId="0" applyFill="1" applyBorder="1" applyAlignment="1">
      <alignment horizontal="center" vertical="center" wrapText="1"/>
    </xf>
    <xf numFmtId="0" fontId="0" fillId="43" borderId="7" xfId="0" applyFill="1" applyBorder="1" applyAlignment="1">
      <alignment horizontal="center" vertical="center" wrapText="1"/>
    </xf>
    <xf numFmtId="9" fontId="0" fillId="43" borderId="2" xfId="2" applyFont="1" applyFill="1" applyBorder="1" applyAlignment="1">
      <alignment horizontal="center" vertical="center" wrapText="1"/>
    </xf>
    <xf numFmtId="9" fontId="0" fillId="43" borderId="7" xfId="2" applyFont="1" applyFill="1" applyBorder="1" applyAlignment="1">
      <alignment horizontal="center" vertical="center" wrapText="1"/>
    </xf>
    <xf numFmtId="9" fontId="0" fillId="43" borderId="3" xfId="2" applyFont="1" applyFill="1" applyBorder="1" applyAlignment="1">
      <alignment horizontal="center" vertical="center" wrapText="1"/>
    </xf>
    <xf numFmtId="0" fontId="0" fillId="43" borderId="3" xfId="0" applyFill="1" applyBorder="1" applyAlignment="1">
      <alignment horizontal="center" vertical="center" wrapText="1"/>
    </xf>
    <xf numFmtId="0" fontId="54" fillId="43" borderId="59" xfId="0" applyFont="1" applyFill="1" applyBorder="1" applyAlignment="1">
      <alignment horizontal="center" vertical="center" wrapText="1"/>
    </xf>
    <xf numFmtId="0" fontId="54" fillId="43" borderId="7" xfId="0" applyFont="1" applyFill="1" applyBorder="1" applyAlignment="1">
      <alignment horizontal="center" vertical="center" wrapText="1"/>
    </xf>
    <xf numFmtId="0" fontId="54" fillId="43" borderId="3" xfId="0" applyFont="1" applyFill="1" applyBorder="1" applyAlignment="1">
      <alignment horizontal="center" vertical="center" wrapText="1"/>
    </xf>
    <xf numFmtId="0" fontId="54" fillId="43" borderId="2" xfId="0" applyFont="1" applyFill="1" applyBorder="1" applyAlignment="1">
      <alignment horizontal="center" vertical="center" wrapText="1"/>
    </xf>
    <xf numFmtId="0" fontId="0" fillId="43" borderId="2" xfId="0" applyFill="1" applyBorder="1" applyAlignment="1">
      <alignment horizontal="center" vertical="center" wrapText="1"/>
    </xf>
    <xf numFmtId="167" fontId="0" fillId="43" borderId="2" xfId="2" applyNumberFormat="1" applyFont="1" applyFill="1" applyBorder="1" applyAlignment="1">
      <alignment horizontal="center" vertical="center" wrapText="1"/>
    </xf>
    <xf numFmtId="167" fontId="0" fillId="43" borderId="3" xfId="2" applyNumberFormat="1" applyFont="1" applyFill="1" applyBorder="1" applyAlignment="1">
      <alignment horizontal="center" vertical="center" wrapText="1"/>
    </xf>
    <xf numFmtId="0" fontId="66" fillId="2" borderId="2" xfId="0" applyFont="1" applyFill="1" applyBorder="1" applyAlignment="1">
      <alignment horizontal="center"/>
    </xf>
    <xf numFmtId="0" fontId="66" fillId="2" borderId="7" xfId="0" applyFont="1" applyFill="1" applyBorder="1" applyAlignment="1">
      <alignment horizontal="center"/>
    </xf>
    <xf numFmtId="0" fontId="66" fillId="2" borderId="3" xfId="0" applyFont="1" applyFill="1" applyBorder="1" applyAlignment="1">
      <alignment horizontal="center"/>
    </xf>
    <xf numFmtId="0" fontId="7" fillId="39" borderId="59" xfId="9" applyFont="1" applyFill="1" applyBorder="1" applyAlignment="1">
      <alignment horizontal="center" vertical="center" wrapText="1"/>
    </xf>
    <xf numFmtId="0" fontId="7" fillId="39" borderId="7" xfId="9" applyFont="1" applyFill="1" applyBorder="1" applyAlignment="1">
      <alignment horizontal="center" vertical="center" wrapText="1"/>
    </xf>
    <xf numFmtId="0" fontId="7" fillId="39" borderId="3" xfId="9" applyFont="1" applyFill="1" applyBorder="1" applyAlignment="1">
      <alignment horizontal="center" vertical="center" wrapText="1"/>
    </xf>
    <xf numFmtId="0" fontId="20" fillId="4" borderId="89" xfId="9" applyFont="1" applyFill="1" applyBorder="1" applyAlignment="1">
      <alignment horizontal="center" vertical="center"/>
    </xf>
    <xf numFmtId="0" fontId="20" fillId="4" borderId="90" xfId="9" applyFont="1" applyFill="1" applyBorder="1" applyAlignment="1">
      <alignment horizontal="center" vertical="center"/>
    </xf>
    <xf numFmtId="0" fontId="20" fillId="4" borderId="91" xfId="9" applyFont="1" applyFill="1" applyBorder="1" applyAlignment="1">
      <alignment horizontal="center" vertical="center"/>
    </xf>
    <xf numFmtId="0" fontId="20" fillId="46" borderId="89" xfId="9" applyFont="1" applyFill="1" applyBorder="1" applyAlignment="1">
      <alignment horizontal="center" vertical="center"/>
    </xf>
    <xf numFmtId="0" fontId="20" fillId="46" borderId="90" xfId="9" applyFont="1" applyFill="1" applyBorder="1" applyAlignment="1">
      <alignment horizontal="center" vertical="center"/>
    </xf>
    <xf numFmtId="0" fontId="20" fillId="46" borderId="91" xfId="9" applyFont="1" applyFill="1" applyBorder="1" applyAlignment="1">
      <alignment horizontal="center" vertical="center"/>
    </xf>
    <xf numFmtId="0" fontId="15" fillId="5" borderId="9" xfId="9" applyFont="1" applyFill="1" applyBorder="1" applyAlignment="1">
      <alignment horizontal="center" vertical="center"/>
    </xf>
    <xf numFmtId="0" fontId="14" fillId="39" borderId="24" xfId="9" applyFont="1" applyFill="1" applyBorder="1" applyAlignment="1">
      <alignment horizontal="center" vertical="center" wrapText="1"/>
    </xf>
    <xf numFmtId="0" fontId="14" fillId="39" borderId="8" xfId="9" applyFont="1" applyFill="1" applyBorder="1" applyAlignment="1">
      <alignment horizontal="center" vertical="center" wrapText="1"/>
    </xf>
    <xf numFmtId="0" fontId="14" fillId="39" borderId="23" xfId="9" applyFont="1" applyFill="1" applyBorder="1" applyAlignment="1">
      <alignment horizontal="center" vertical="center" wrapText="1"/>
    </xf>
    <xf numFmtId="0" fontId="14" fillId="39" borderId="22" xfId="9" applyFont="1" applyFill="1" applyBorder="1" applyAlignment="1">
      <alignment horizontal="center" vertical="center" wrapText="1"/>
    </xf>
    <xf numFmtId="0" fontId="14" fillId="2" borderId="2" xfId="9" applyFont="1" applyFill="1" applyBorder="1" applyAlignment="1">
      <alignment horizontal="center" vertical="center" wrapText="1"/>
    </xf>
    <xf numFmtId="0" fontId="14" fillId="2" borderId="3" xfId="9" applyFont="1" applyFill="1" applyBorder="1" applyAlignment="1">
      <alignment horizontal="center" vertical="center" wrapText="1"/>
    </xf>
    <xf numFmtId="0" fontId="14" fillId="39" borderId="41" xfId="9" applyFont="1" applyFill="1" applyBorder="1" applyAlignment="1">
      <alignment horizontal="center" vertical="center" wrapText="1"/>
    </xf>
    <xf numFmtId="0" fontId="14" fillId="39" borderId="42" xfId="9" applyFont="1" applyFill="1" applyBorder="1" applyAlignment="1">
      <alignment horizontal="center" vertical="center" wrapText="1"/>
    </xf>
    <xf numFmtId="0" fontId="62" fillId="39" borderId="2" xfId="9" applyFont="1" applyFill="1" applyBorder="1" applyAlignment="1">
      <alignment horizontal="center" vertical="center" wrapText="1"/>
    </xf>
    <xf numFmtId="0" fontId="62" fillId="39" borderId="7" xfId="9" applyFont="1" applyFill="1" applyBorder="1" applyAlignment="1">
      <alignment horizontal="center" vertical="center" wrapText="1"/>
    </xf>
    <xf numFmtId="0" fontId="62" fillId="39" borderId="3" xfId="9" applyFont="1" applyFill="1" applyBorder="1" applyAlignment="1">
      <alignment horizontal="center" vertical="center" wrapText="1"/>
    </xf>
    <xf numFmtId="9" fontId="19" fillId="43" borderId="2" xfId="2" applyFont="1" applyFill="1" applyBorder="1" applyAlignment="1" applyProtection="1">
      <alignment horizontal="center" vertical="center" wrapText="1"/>
      <protection locked="0"/>
    </xf>
    <xf numFmtId="9" fontId="19" fillId="43" borderId="7" xfId="2" applyFont="1" applyFill="1" applyBorder="1" applyAlignment="1" applyProtection="1">
      <alignment horizontal="center" vertical="center" wrapText="1"/>
      <protection locked="0"/>
    </xf>
    <xf numFmtId="0" fontId="57" fillId="44" borderId="2" xfId="0" applyFont="1" applyFill="1" applyBorder="1" applyAlignment="1">
      <alignment horizontal="center" vertical="center" wrapText="1"/>
    </xf>
    <xf numFmtId="0" fontId="57" fillId="44" borderId="7" xfId="0" applyFont="1" applyFill="1" applyBorder="1" applyAlignment="1">
      <alignment horizontal="center" vertical="center" wrapText="1"/>
    </xf>
    <xf numFmtId="0" fontId="57" fillId="44" borderId="3" xfId="0" applyFont="1" applyFill="1" applyBorder="1" applyAlignment="1">
      <alignment horizontal="center" vertical="center" wrapText="1"/>
    </xf>
    <xf numFmtId="0" fontId="20" fillId="4" borderId="86" xfId="9" applyFont="1" applyFill="1" applyBorder="1" applyAlignment="1">
      <alignment horizontal="center" vertical="center"/>
    </xf>
    <xf numFmtId="0" fontId="20" fillId="4" borderId="87" xfId="9" applyFont="1" applyFill="1" applyBorder="1" applyAlignment="1">
      <alignment horizontal="center" vertical="center"/>
    </xf>
    <xf numFmtId="0" fontId="20" fillId="4" borderId="88" xfId="9" applyFont="1" applyFill="1" applyBorder="1" applyAlignment="1">
      <alignment horizontal="center" vertical="center"/>
    </xf>
    <xf numFmtId="0" fontId="20" fillId="4" borderId="27" xfId="9" applyFont="1" applyFill="1" applyBorder="1" applyAlignment="1">
      <alignment horizontal="center" vertical="center"/>
    </xf>
    <xf numFmtId="0" fontId="20" fillId="4" borderId="28" xfId="9" applyFont="1" applyFill="1" applyBorder="1" applyAlignment="1">
      <alignment horizontal="center" vertical="center"/>
    </xf>
    <xf numFmtId="0" fontId="14" fillId="2" borderId="52" xfId="9" applyFont="1" applyFill="1" applyBorder="1" applyAlignment="1">
      <alignment horizontal="center" vertical="center" wrapText="1"/>
    </xf>
    <xf numFmtId="0" fontId="14" fillId="2" borderId="53" xfId="9" applyFont="1" applyFill="1" applyBorder="1" applyAlignment="1">
      <alignment horizontal="center" vertical="center" wrapText="1"/>
    </xf>
    <xf numFmtId="0" fontId="15" fillId="5" borderId="9" xfId="9" applyFont="1" applyFill="1" applyBorder="1" applyAlignment="1">
      <alignment horizontal="center" vertical="center" shrinkToFit="1"/>
    </xf>
    <xf numFmtId="0" fontId="14" fillId="39" borderId="3" xfId="9" applyFont="1" applyFill="1" applyBorder="1" applyAlignment="1">
      <alignment horizontal="center" vertical="center" wrapText="1"/>
    </xf>
    <xf numFmtId="0" fontId="20" fillId="30" borderId="9" xfId="9" applyFont="1" applyFill="1" applyBorder="1" applyAlignment="1">
      <alignment horizontal="center" vertical="center"/>
    </xf>
    <xf numFmtId="0" fontId="20" fillId="30" borderId="0" xfId="9" applyFont="1" applyFill="1" applyBorder="1" applyAlignment="1">
      <alignment horizontal="center" vertical="center"/>
    </xf>
    <xf numFmtId="0" fontId="20" fillId="30" borderId="13" xfId="9" applyFont="1" applyFill="1" applyBorder="1" applyAlignment="1">
      <alignment horizontal="center" vertical="center"/>
    </xf>
    <xf numFmtId="0" fontId="20" fillId="30" borderId="27" xfId="9" applyFont="1" applyFill="1" applyBorder="1" applyAlignment="1">
      <alignment horizontal="center" vertical="center"/>
    </xf>
    <xf numFmtId="0" fontId="20" fillId="30" borderId="25" xfId="9" applyFont="1" applyFill="1" applyBorder="1" applyAlignment="1">
      <alignment horizontal="center" vertical="center"/>
    </xf>
    <xf numFmtId="0" fontId="20" fillId="30" borderId="28" xfId="9" applyFont="1" applyFill="1" applyBorder="1" applyAlignment="1">
      <alignment horizontal="center" vertical="center"/>
    </xf>
    <xf numFmtId="0" fontId="17" fillId="3" borderId="63" xfId="9" applyFont="1" applyFill="1" applyBorder="1" applyAlignment="1" applyProtection="1">
      <alignment horizontal="center" vertical="center" wrapText="1"/>
      <protection locked="0"/>
    </xf>
    <xf numFmtId="0" fontId="17" fillId="3" borderId="25" xfId="9" applyFont="1" applyFill="1" applyBorder="1" applyAlignment="1" applyProtection="1">
      <alignment horizontal="center" vertical="center" wrapText="1"/>
      <protection locked="0"/>
    </xf>
    <xf numFmtId="0" fontId="15" fillId="5" borderId="0" xfId="9" applyFont="1" applyFill="1" applyBorder="1" applyAlignment="1">
      <alignment horizontal="center" vertical="center"/>
    </xf>
    <xf numFmtId="3" fontId="21" fillId="2" borderId="26" xfId="9" applyNumberFormat="1" applyFont="1" applyFill="1" applyBorder="1" applyAlignment="1">
      <alignment horizontal="left" vertical="center" indent="1"/>
    </xf>
    <xf numFmtId="0" fontId="14" fillId="2" borderId="30" xfId="9" applyFont="1" applyFill="1" applyBorder="1" applyAlignment="1">
      <alignment horizontal="left" vertical="center" wrapText="1" indent="1"/>
    </xf>
    <xf numFmtId="0" fontId="14" fillId="2" borderId="31" xfId="9" applyFont="1" applyFill="1" applyBorder="1" applyAlignment="1">
      <alignment horizontal="left" vertical="center" wrapText="1" indent="1"/>
    </xf>
    <xf numFmtId="0" fontId="57" fillId="44" borderId="1" xfId="0" applyFont="1" applyFill="1" applyBorder="1" applyAlignment="1">
      <alignment horizontal="center" vertical="center" wrapText="1"/>
    </xf>
    <xf numFmtId="0" fontId="57" fillId="43" borderId="2" xfId="0" applyFont="1" applyFill="1" applyBorder="1" applyAlignment="1">
      <alignment horizontal="center" vertical="center" wrapText="1"/>
    </xf>
    <xf numFmtId="0" fontId="57" fillId="43" borderId="7" xfId="0" applyFont="1" applyFill="1" applyBorder="1" applyAlignment="1">
      <alignment horizontal="center" vertical="center" wrapText="1"/>
    </xf>
    <xf numFmtId="0" fontId="57" fillId="43" borderId="3" xfId="0" applyFont="1" applyFill="1" applyBorder="1" applyAlignment="1">
      <alignment horizontal="center" vertical="center" wrapText="1"/>
    </xf>
    <xf numFmtId="0" fontId="14" fillId="39" borderId="2" xfId="9" applyFont="1" applyFill="1" applyBorder="1" applyAlignment="1">
      <alignment horizontal="center" vertical="center" wrapText="1"/>
    </xf>
    <xf numFmtId="0" fontId="14" fillId="43" borderId="2" xfId="9" applyFont="1" applyFill="1" applyBorder="1" applyAlignment="1">
      <alignment horizontal="center" vertical="center" wrapText="1"/>
    </xf>
    <xf numFmtId="0" fontId="14" fillId="43" borderId="7" xfId="9" applyFont="1" applyFill="1" applyBorder="1" applyAlignment="1">
      <alignment horizontal="center" vertical="center" wrapText="1"/>
    </xf>
    <xf numFmtId="0" fontId="14" fillId="44" borderId="2" xfId="9" applyFont="1" applyFill="1" applyBorder="1" applyAlignment="1">
      <alignment horizontal="center" vertical="center" wrapText="1"/>
    </xf>
    <xf numFmtId="0" fontId="14" fillId="44" borderId="7" xfId="9" applyFont="1" applyFill="1" applyBorder="1" applyAlignment="1">
      <alignment horizontal="center" vertical="center" wrapText="1"/>
    </xf>
    <xf numFmtId="0" fontId="14" fillId="44" borderId="3" xfId="9" applyFont="1" applyFill="1" applyBorder="1" applyAlignment="1">
      <alignment horizontal="center" vertical="center" wrapText="1"/>
    </xf>
    <xf numFmtId="0" fontId="64" fillId="39" borderId="59" xfId="9" applyFont="1" applyFill="1" applyBorder="1" applyAlignment="1">
      <alignment horizontal="center" vertical="center" wrapText="1"/>
    </xf>
    <xf numFmtId="0" fontId="64" fillId="39" borderId="7" xfId="9" applyFont="1" applyFill="1" applyBorder="1" applyAlignment="1">
      <alignment horizontal="center" vertical="center" wrapText="1"/>
    </xf>
    <xf numFmtId="0" fontId="64" fillId="39" borderId="29" xfId="9" applyFont="1" applyFill="1" applyBorder="1" applyAlignment="1">
      <alignment horizontal="center" vertical="center" wrapText="1"/>
    </xf>
    <xf numFmtId="0" fontId="14" fillId="2" borderId="0" xfId="9" applyFont="1" applyFill="1" applyBorder="1" applyAlignment="1" applyProtection="1">
      <alignment horizontal="left" vertical="center" wrapText="1"/>
    </xf>
    <xf numFmtId="0" fontId="15" fillId="2" borderId="26" xfId="9" applyFont="1" applyFill="1" applyBorder="1" applyAlignment="1">
      <alignment horizontal="center" vertical="center" wrapText="1"/>
    </xf>
    <xf numFmtId="0" fontId="15" fillId="2" borderId="0" xfId="9" applyFont="1" applyFill="1" applyBorder="1" applyAlignment="1">
      <alignment horizontal="center" vertical="center" wrapText="1"/>
    </xf>
    <xf numFmtId="0" fontId="15" fillId="2" borderId="64" xfId="9" applyFont="1" applyFill="1" applyBorder="1" applyAlignment="1">
      <alignment horizontal="center" vertical="center" wrapText="1"/>
    </xf>
    <xf numFmtId="0" fontId="20" fillId="4" borderId="60" xfId="9" applyFont="1" applyFill="1" applyBorder="1" applyAlignment="1">
      <alignment horizontal="center" vertical="center"/>
    </xf>
    <xf numFmtId="0" fontId="20" fillId="4" borderId="61" xfId="9" applyFont="1" applyFill="1" applyBorder="1" applyAlignment="1">
      <alignment horizontal="center" vertical="center"/>
    </xf>
    <xf numFmtId="0" fontId="20" fillId="4" borderId="62" xfId="9" applyFont="1" applyFill="1" applyBorder="1" applyAlignment="1">
      <alignment horizontal="center" vertical="center"/>
    </xf>
    <xf numFmtId="0" fontId="20" fillId="4" borderId="26" xfId="9" applyFont="1" applyFill="1" applyBorder="1" applyAlignment="1">
      <alignment horizontal="center" vertical="center"/>
    </xf>
    <xf numFmtId="0" fontId="20" fillId="4" borderId="0" xfId="9" applyFont="1" applyFill="1" applyBorder="1" applyAlignment="1">
      <alignment horizontal="center" vertical="center"/>
    </xf>
    <xf numFmtId="0" fontId="20" fillId="4" borderId="64" xfId="9" applyFont="1" applyFill="1" applyBorder="1" applyAlignment="1">
      <alignment horizontal="center" vertical="center"/>
    </xf>
    <xf numFmtId="0" fontId="20" fillId="30" borderId="60" xfId="9" applyFont="1" applyFill="1" applyBorder="1" applyAlignment="1">
      <alignment horizontal="center" vertical="center"/>
    </xf>
    <xf numFmtId="0" fontId="20" fillId="30" borderId="61" xfId="9" applyFont="1" applyFill="1" applyBorder="1" applyAlignment="1">
      <alignment horizontal="center" vertical="center"/>
    </xf>
    <xf numFmtId="0" fontId="20" fillId="30" borderId="62" xfId="9" applyFont="1" applyFill="1" applyBorder="1" applyAlignment="1">
      <alignment horizontal="center" vertical="center"/>
    </xf>
    <xf numFmtId="0" fontId="20" fillId="30" borderId="63" xfId="9" applyFont="1" applyFill="1" applyBorder="1" applyAlignment="1">
      <alignment horizontal="center" vertical="center"/>
    </xf>
    <xf numFmtId="0" fontId="20" fillId="30" borderId="4" xfId="9" applyFont="1" applyFill="1" applyBorder="1" applyAlignment="1">
      <alignment horizontal="center" vertical="center"/>
    </xf>
    <xf numFmtId="0" fontId="64" fillId="2" borderId="41" xfId="9" applyFont="1" applyFill="1" applyBorder="1" applyAlignment="1">
      <alignment horizontal="center" vertical="center" wrapText="1"/>
    </xf>
    <xf numFmtId="0" fontId="64" fillId="2" borderId="24" xfId="9" applyFont="1" applyFill="1" applyBorder="1" applyAlignment="1">
      <alignment horizontal="center" vertical="center" wrapText="1"/>
    </xf>
    <xf numFmtId="0" fontId="64" fillId="2" borderId="8" xfId="9" applyFont="1" applyFill="1" applyBorder="1" applyAlignment="1">
      <alignment horizontal="center" vertical="center" wrapText="1"/>
    </xf>
    <xf numFmtId="0" fontId="64" fillId="2" borderId="42" xfId="9" applyFont="1" applyFill="1" applyBorder="1" applyAlignment="1">
      <alignment horizontal="center" vertical="center" wrapText="1"/>
    </xf>
    <xf numFmtId="0" fontId="64" fillId="2" borderId="23" xfId="9" applyFont="1" applyFill="1" applyBorder="1" applyAlignment="1">
      <alignment horizontal="center" vertical="center" wrapText="1"/>
    </xf>
    <xf numFmtId="0" fontId="64" fillId="2" borderId="22" xfId="9" applyFont="1" applyFill="1" applyBorder="1" applyAlignment="1">
      <alignment horizontal="center" vertical="center" wrapText="1"/>
    </xf>
    <xf numFmtId="0" fontId="65" fillId="3" borderId="41" xfId="9" applyFont="1" applyFill="1" applyBorder="1" applyAlignment="1">
      <alignment horizontal="center" vertical="center" wrapText="1"/>
    </xf>
    <xf numFmtId="0" fontId="65" fillId="3" borderId="24" xfId="9" applyFont="1" applyFill="1" applyBorder="1" applyAlignment="1">
      <alignment horizontal="center" vertical="center" wrapText="1"/>
    </xf>
    <xf numFmtId="0" fontId="65" fillId="3" borderId="8" xfId="9" applyFont="1" applyFill="1" applyBorder="1" applyAlignment="1">
      <alignment horizontal="center" vertical="center" wrapText="1"/>
    </xf>
    <xf numFmtId="0" fontId="65" fillId="3" borderId="42" xfId="9" applyFont="1" applyFill="1" applyBorder="1" applyAlignment="1">
      <alignment horizontal="center" vertical="center" wrapText="1"/>
    </xf>
    <xf numFmtId="0" fontId="65" fillId="3" borderId="23" xfId="9" applyFont="1" applyFill="1" applyBorder="1" applyAlignment="1">
      <alignment horizontal="center" vertical="center" wrapText="1"/>
    </xf>
    <xf numFmtId="0" fontId="65" fillId="3" borderId="22" xfId="9" applyFont="1" applyFill="1" applyBorder="1" applyAlignment="1">
      <alignment horizontal="center" vertical="center" wrapText="1"/>
    </xf>
    <xf numFmtId="0" fontId="63" fillId="39" borderId="41" xfId="9" applyFont="1" applyFill="1" applyBorder="1" applyAlignment="1">
      <alignment horizontal="center" vertical="center" wrapText="1"/>
    </xf>
    <xf numFmtId="0" fontId="63" fillId="39" borderId="24" xfId="9" applyFont="1" applyFill="1" applyBorder="1" applyAlignment="1">
      <alignment horizontal="center" vertical="center" wrapText="1"/>
    </xf>
    <xf numFmtId="0" fontId="63" fillId="39" borderId="8" xfId="9" applyFont="1" applyFill="1" applyBorder="1" applyAlignment="1">
      <alignment horizontal="center" vertical="center" wrapText="1"/>
    </xf>
    <xf numFmtId="0" fontId="63" fillId="39" borderId="42" xfId="9" applyFont="1" applyFill="1" applyBorder="1" applyAlignment="1">
      <alignment horizontal="center" vertical="center" wrapText="1"/>
    </xf>
    <xf numFmtId="0" fontId="63" fillId="39" borderId="23" xfId="9" applyFont="1" applyFill="1" applyBorder="1" applyAlignment="1">
      <alignment horizontal="center" vertical="center" wrapText="1"/>
    </xf>
    <xf numFmtId="0" fontId="63" fillId="39" borderId="22" xfId="9" applyFont="1" applyFill="1" applyBorder="1" applyAlignment="1">
      <alignment horizontal="center" vertical="center" wrapText="1"/>
    </xf>
    <xf numFmtId="1" fontId="65" fillId="3" borderId="41" xfId="9" applyNumberFormat="1" applyFont="1" applyFill="1" applyBorder="1" applyAlignment="1">
      <alignment horizontal="center" vertical="center" wrapText="1"/>
    </xf>
    <xf numFmtId="0" fontId="20" fillId="36" borderId="69" xfId="9" applyFont="1" applyFill="1" applyBorder="1" applyAlignment="1" applyProtection="1">
      <alignment horizontal="center" vertical="center"/>
    </xf>
    <xf numFmtId="0" fontId="20" fillId="36" borderId="70" xfId="9" applyFont="1" applyFill="1" applyBorder="1" applyAlignment="1" applyProtection="1">
      <alignment horizontal="center" vertical="center"/>
    </xf>
    <xf numFmtId="0" fontId="20" fillId="36" borderId="66" xfId="9" applyFont="1" applyFill="1" applyBorder="1" applyAlignment="1" applyProtection="1">
      <alignment horizontal="center" vertical="center"/>
    </xf>
    <xf numFmtId="0" fontId="43" fillId="5" borderId="59" xfId="9" applyFont="1" applyFill="1" applyBorder="1" applyAlignment="1" applyProtection="1">
      <alignment horizontal="center" vertical="center"/>
    </xf>
    <xf numFmtId="0" fontId="43" fillId="5" borderId="7" xfId="9" applyFont="1" applyFill="1" applyBorder="1" applyAlignment="1" applyProtection="1">
      <alignment horizontal="center" vertical="center"/>
    </xf>
    <xf numFmtId="0" fontId="43" fillId="5" borderId="29" xfId="9" applyFont="1" applyFill="1" applyBorder="1" applyAlignment="1" applyProtection="1">
      <alignment horizontal="center" vertical="center"/>
    </xf>
    <xf numFmtId="0" fontId="20" fillId="33" borderId="69" xfId="9" applyFont="1" applyFill="1" applyBorder="1" applyAlignment="1" applyProtection="1">
      <alignment horizontal="center" vertical="center"/>
    </xf>
    <xf numFmtId="0" fontId="20" fillId="33" borderId="70" xfId="9" applyFont="1" applyFill="1" applyBorder="1" applyAlignment="1" applyProtection="1">
      <alignment horizontal="center" vertical="center"/>
    </xf>
    <xf numFmtId="0" fontId="20" fillId="33" borderId="66" xfId="9" applyFont="1" applyFill="1" applyBorder="1" applyAlignment="1" applyProtection="1">
      <alignment horizontal="center" vertical="center"/>
    </xf>
    <xf numFmtId="0" fontId="20" fillId="38" borderId="60" xfId="9" applyFont="1" applyFill="1" applyBorder="1" applyAlignment="1" applyProtection="1">
      <alignment horizontal="center" vertical="center"/>
    </xf>
    <xf numFmtId="0" fontId="20" fillId="38" borderId="61" xfId="9" applyFont="1" applyFill="1" applyBorder="1" applyAlignment="1" applyProtection="1">
      <alignment horizontal="center" vertical="center"/>
    </xf>
    <xf numFmtId="0" fontId="20" fillId="38" borderId="62" xfId="9" applyFont="1" applyFill="1" applyBorder="1" applyAlignment="1" applyProtection="1">
      <alignment horizontal="center" vertical="center"/>
    </xf>
    <xf numFmtId="0" fontId="20" fillId="38" borderId="63" xfId="9" applyFont="1" applyFill="1" applyBorder="1" applyAlignment="1" applyProtection="1">
      <alignment horizontal="center" vertical="center"/>
    </xf>
    <xf numFmtId="0" fontId="20" fillId="38" borderId="25" xfId="9" applyFont="1" applyFill="1" applyBorder="1" applyAlignment="1" applyProtection="1">
      <alignment horizontal="center" vertical="center"/>
    </xf>
    <xf numFmtId="0" fontId="20" fillId="38" borderId="4" xfId="9" applyFont="1" applyFill="1" applyBorder="1" applyAlignment="1" applyProtection="1">
      <alignment horizontal="center" vertical="center"/>
    </xf>
    <xf numFmtId="0" fontId="20" fillId="4" borderId="60" xfId="9" applyFont="1" applyFill="1" applyBorder="1" applyAlignment="1" applyProtection="1">
      <alignment horizontal="center" vertical="center"/>
    </xf>
    <xf numFmtId="0" fontId="20" fillId="4" borderId="61" xfId="9" applyFont="1" applyFill="1" applyBorder="1" applyAlignment="1" applyProtection="1">
      <alignment horizontal="center" vertical="center"/>
    </xf>
    <xf numFmtId="0" fontId="20" fillId="4" borderId="62" xfId="9" applyFont="1" applyFill="1" applyBorder="1" applyAlignment="1" applyProtection="1">
      <alignment horizontal="center" vertical="center"/>
    </xf>
    <xf numFmtId="0" fontId="20" fillId="4" borderId="63" xfId="9" applyFont="1" applyFill="1" applyBorder="1" applyAlignment="1" applyProtection="1">
      <alignment horizontal="center" vertical="center"/>
    </xf>
    <xf numFmtId="0" fontId="20" fillId="4" borderId="25" xfId="9" applyFont="1" applyFill="1" applyBorder="1" applyAlignment="1" applyProtection="1">
      <alignment horizontal="center" vertical="center"/>
    </xf>
    <xf numFmtId="0" fontId="20" fillId="4" borderId="4" xfId="9" applyFont="1" applyFill="1" applyBorder="1" applyAlignment="1" applyProtection="1">
      <alignment horizontal="center" vertical="center"/>
    </xf>
    <xf numFmtId="0" fontId="2" fillId="2" borderId="60" xfId="9" applyFill="1" applyBorder="1" applyAlignment="1" applyProtection="1">
      <alignment horizontal="center"/>
    </xf>
    <xf numFmtId="0" fontId="2" fillId="2" borderId="61" xfId="9" applyFill="1" applyBorder="1" applyAlignment="1" applyProtection="1">
      <alignment horizontal="center"/>
    </xf>
    <xf numFmtId="0" fontId="2" fillId="2" borderId="62" xfId="9" applyFill="1" applyBorder="1" applyAlignment="1" applyProtection="1">
      <alignment horizontal="center"/>
    </xf>
    <xf numFmtId="0" fontId="2" fillId="2" borderId="63" xfId="9" applyFill="1" applyBorder="1" applyAlignment="1" applyProtection="1">
      <alignment horizontal="center"/>
    </xf>
    <xf numFmtId="0" fontId="2" fillId="2" borderId="25" xfId="9" applyFill="1" applyBorder="1" applyAlignment="1" applyProtection="1">
      <alignment horizontal="center"/>
    </xf>
    <xf numFmtId="0" fontId="2" fillId="2" borderId="4" xfId="9" applyFill="1" applyBorder="1" applyAlignment="1" applyProtection="1">
      <alignment horizontal="center"/>
    </xf>
    <xf numFmtId="0" fontId="20" fillId="35" borderId="69" xfId="9" applyFont="1" applyFill="1" applyBorder="1" applyAlignment="1" applyProtection="1">
      <alignment horizontal="center" vertical="center"/>
    </xf>
    <xf numFmtId="0" fontId="20" fillId="35" borderId="70" xfId="9" applyFont="1" applyFill="1" applyBorder="1" applyAlignment="1" applyProtection="1">
      <alignment horizontal="center" vertical="center"/>
    </xf>
    <xf numFmtId="0" fontId="20" fillId="35" borderId="66" xfId="9" applyFont="1" applyFill="1" applyBorder="1" applyAlignment="1" applyProtection="1">
      <alignment horizontal="center" vertical="center"/>
    </xf>
    <xf numFmtId="0" fontId="20" fillId="34" borderId="69" xfId="9" applyFont="1" applyFill="1" applyBorder="1" applyAlignment="1" applyProtection="1">
      <alignment horizontal="center" vertical="center"/>
    </xf>
    <xf numFmtId="0" fontId="20" fillId="34" borderId="70" xfId="9" applyFont="1" applyFill="1" applyBorder="1" applyAlignment="1" applyProtection="1">
      <alignment horizontal="center" vertical="center"/>
    </xf>
    <xf numFmtId="0" fontId="20" fillId="34" borderId="66" xfId="9" applyFont="1" applyFill="1" applyBorder="1" applyAlignment="1" applyProtection="1">
      <alignment horizontal="center" vertical="center"/>
    </xf>
    <xf numFmtId="0" fontId="20" fillId="32" borderId="69" xfId="9" applyFont="1" applyFill="1" applyBorder="1" applyAlignment="1" applyProtection="1">
      <alignment horizontal="center" vertical="center"/>
    </xf>
    <xf numFmtId="0" fontId="20" fillId="32" borderId="70" xfId="9" applyFont="1" applyFill="1" applyBorder="1" applyAlignment="1" applyProtection="1">
      <alignment horizontal="center" vertical="center"/>
    </xf>
    <xf numFmtId="0" fontId="20" fillId="32" borderId="66" xfId="9" applyFont="1" applyFill="1" applyBorder="1" applyAlignment="1" applyProtection="1">
      <alignment horizontal="center" vertical="center"/>
    </xf>
    <xf numFmtId="0" fontId="64" fillId="2" borderId="2" xfId="9" applyFont="1" applyFill="1" applyBorder="1" applyAlignment="1">
      <alignment horizontal="center" vertical="center" wrapText="1"/>
    </xf>
    <xf numFmtId="0" fontId="64" fillId="2" borderId="7" xfId="9" applyFont="1" applyFill="1" applyBorder="1" applyAlignment="1">
      <alignment horizontal="center" vertical="center" wrapText="1"/>
    </xf>
    <xf numFmtId="1" fontId="65" fillId="3" borderId="2" xfId="9" applyNumberFormat="1" applyFont="1" applyFill="1" applyBorder="1" applyAlignment="1">
      <alignment horizontal="center" vertical="center" wrapText="1"/>
    </xf>
    <xf numFmtId="1" fontId="65" fillId="3" borderId="7" xfId="9" applyNumberFormat="1" applyFont="1" applyFill="1" applyBorder="1" applyAlignment="1">
      <alignment horizontal="center" vertical="center" wrapText="1"/>
    </xf>
    <xf numFmtId="1" fontId="65" fillId="3" borderId="3" xfId="9" applyNumberFormat="1" applyFont="1" applyFill="1" applyBorder="1" applyAlignment="1">
      <alignment horizontal="center" vertical="center" wrapText="1"/>
    </xf>
    <xf numFmtId="0" fontId="17" fillId="2" borderId="63" xfId="9" applyFont="1" applyFill="1" applyBorder="1" applyAlignment="1">
      <alignment horizontal="center" vertical="center" wrapText="1"/>
    </xf>
    <xf numFmtId="0" fontId="17" fillId="2" borderId="25" xfId="9" applyFont="1" applyFill="1" applyBorder="1" applyAlignment="1">
      <alignment horizontal="center" vertical="center" wrapText="1"/>
    </xf>
    <xf numFmtId="0" fontId="17" fillId="2" borderId="4" xfId="9" applyFont="1" applyFill="1" applyBorder="1" applyAlignment="1">
      <alignment horizontal="center" vertical="center" wrapText="1"/>
    </xf>
    <xf numFmtId="0" fontId="17" fillId="2" borderId="26" xfId="9" applyFont="1" applyFill="1" applyBorder="1" applyAlignment="1">
      <alignment horizontal="center" vertical="center" wrapText="1"/>
    </xf>
    <xf numFmtId="0" fontId="17" fillId="2" borderId="0" xfId="9" applyFont="1" applyFill="1" applyBorder="1" applyAlignment="1">
      <alignment horizontal="center" vertical="center" wrapText="1"/>
    </xf>
    <xf numFmtId="0" fontId="17" fillId="2" borderId="64" xfId="9" applyFont="1" applyFill="1" applyBorder="1" applyAlignment="1">
      <alignment horizontal="center" vertical="center" wrapText="1"/>
    </xf>
    <xf numFmtId="0" fontId="17" fillId="2" borderId="24" xfId="9" applyFont="1" applyFill="1" applyBorder="1" applyAlignment="1">
      <alignment horizontal="center" vertical="center" wrapText="1"/>
    </xf>
    <xf numFmtId="3" fontId="17" fillId="3" borderId="2" xfId="9" applyNumberFormat="1" applyFont="1" applyFill="1" applyBorder="1" applyAlignment="1">
      <alignment horizontal="center" vertical="center"/>
    </xf>
    <xf numFmtId="3" fontId="17" fillId="3" borderId="3" xfId="9" applyNumberFormat="1" applyFont="1" applyFill="1" applyBorder="1" applyAlignment="1">
      <alignment horizontal="center" vertical="center"/>
    </xf>
    <xf numFmtId="0" fontId="14" fillId="2" borderId="2" xfId="9" applyFont="1" applyFill="1" applyBorder="1" applyAlignment="1">
      <alignment horizontal="center" vertical="center"/>
    </xf>
    <xf numFmtId="0" fontId="14" fillId="2" borderId="3" xfId="9" applyFont="1" applyFill="1" applyBorder="1" applyAlignment="1">
      <alignment horizontal="center" vertical="center"/>
    </xf>
    <xf numFmtId="0" fontId="14" fillId="2" borderId="7" xfId="9" applyFont="1" applyFill="1" applyBorder="1" applyAlignment="1">
      <alignment horizontal="center" vertical="center" wrapText="1"/>
    </xf>
    <xf numFmtId="0" fontId="14" fillId="32" borderId="68" xfId="9" applyFont="1" applyFill="1" applyBorder="1" applyAlignment="1">
      <alignment horizontal="center" vertical="center" wrapText="1"/>
    </xf>
    <xf numFmtId="0" fontId="14" fillId="32" borderId="1" xfId="9" applyFont="1" applyFill="1" applyBorder="1" applyAlignment="1">
      <alignment horizontal="center" vertical="center" wrapText="1"/>
    </xf>
    <xf numFmtId="0" fontId="14" fillId="33" borderId="1" xfId="9" applyFont="1" applyFill="1" applyBorder="1" applyAlignment="1">
      <alignment horizontal="center" vertical="center" wrapText="1"/>
    </xf>
    <xf numFmtId="0" fontId="14" fillId="35" borderId="1" xfId="9" applyFont="1" applyFill="1" applyBorder="1" applyAlignment="1">
      <alignment horizontal="center" vertical="center" wrapText="1"/>
    </xf>
    <xf numFmtId="0" fontId="14" fillId="34" borderId="1" xfId="9" applyFont="1" applyFill="1" applyBorder="1" applyAlignment="1">
      <alignment horizontal="center" vertical="center" wrapText="1"/>
    </xf>
    <xf numFmtId="0" fontId="14" fillId="36" borderId="1" xfId="9" applyFont="1" applyFill="1" applyBorder="1" applyAlignment="1">
      <alignment horizontal="center" vertical="center" wrapText="1"/>
    </xf>
    <xf numFmtId="0" fontId="14" fillId="36" borderId="67" xfId="9" applyFont="1" applyFill="1" applyBorder="1" applyAlignment="1">
      <alignment horizontal="center" vertical="center" wrapText="1"/>
    </xf>
    <xf numFmtId="164" fontId="17" fillId="3" borderId="2" xfId="9" applyNumberFormat="1" applyFont="1" applyFill="1" applyBorder="1" applyAlignment="1">
      <alignment horizontal="center" vertical="center" wrapText="1"/>
    </xf>
    <xf numFmtId="164" fontId="17" fillId="3" borderId="7" xfId="9" applyNumberFormat="1" applyFont="1" applyFill="1" applyBorder="1" applyAlignment="1">
      <alignment horizontal="center" vertical="center" wrapText="1"/>
    </xf>
    <xf numFmtId="164" fontId="17" fillId="3" borderId="3" xfId="9" applyNumberFormat="1" applyFont="1" applyFill="1" applyBorder="1" applyAlignment="1">
      <alignment horizontal="center" vertical="center" wrapText="1"/>
    </xf>
    <xf numFmtId="168" fontId="17" fillId="3" borderId="2" xfId="9" applyNumberFormat="1" applyFont="1" applyFill="1" applyBorder="1" applyAlignment="1">
      <alignment horizontal="center" vertical="center" wrapText="1"/>
    </xf>
    <xf numFmtId="168" fontId="17" fillId="3" borderId="7" xfId="9" applyNumberFormat="1" applyFont="1" applyFill="1" applyBorder="1" applyAlignment="1">
      <alignment horizontal="center" vertical="center" wrapText="1"/>
    </xf>
    <xf numFmtId="168" fontId="17" fillId="3" borderId="3" xfId="9" applyNumberFormat="1" applyFont="1" applyFill="1" applyBorder="1" applyAlignment="1">
      <alignment horizontal="center" vertical="center" wrapText="1"/>
    </xf>
    <xf numFmtId="0" fontId="17" fillId="2" borderId="59" xfId="9" applyFont="1" applyFill="1" applyBorder="1" applyAlignment="1">
      <alignment horizontal="left" vertical="center" indent="1"/>
    </xf>
    <xf numFmtId="0" fontId="17" fillId="2" borderId="3" xfId="9" applyFont="1" applyFill="1" applyBorder="1" applyAlignment="1">
      <alignment horizontal="left" vertical="center" indent="1"/>
    </xf>
    <xf numFmtId="166" fontId="17" fillId="3" borderId="2" xfId="2" applyNumberFormat="1" applyFont="1" applyFill="1" applyBorder="1" applyAlignment="1">
      <alignment horizontal="center" vertical="center"/>
    </xf>
    <xf numFmtId="166" fontId="17" fillId="3" borderId="3" xfId="2" applyNumberFormat="1" applyFont="1" applyFill="1" applyBorder="1" applyAlignment="1">
      <alignment horizontal="center" vertical="center"/>
    </xf>
    <xf numFmtId="0" fontId="17" fillId="2" borderId="2" xfId="9" applyFont="1" applyFill="1" applyBorder="1" applyAlignment="1">
      <alignment horizontal="center" vertical="center" wrapText="1"/>
    </xf>
    <xf numFmtId="0" fontId="17" fillId="2" borderId="7" xfId="9" applyFont="1" applyFill="1" applyBorder="1" applyAlignment="1">
      <alignment horizontal="center" vertical="center" wrapText="1"/>
    </xf>
    <xf numFmtId="0" fontId="17" fillId="2" borderId="3" xfId="9" applyFont="1" applyFill="1" applyBorder="1" applyAlignment="1">
      <alignment horizontal="center" vertical="center" wrapText="1"/>
    </xf>
    <xf numFmtId="0" fontId="14" fillId="2" borderId="1" xfId="9" applyFont="1" applyFill="1" applyBorder="1" applyAlignment="1">
      <alignment horizontal="center" vertical="center"/>
    </xf>
    <xf numFmtId="0" fontId="14" fillId="2" borderId="52" xfId="9" applyFont="1" applyFill="1" applyBorder="1" applyAlignment="1">
      <alignment horizontal="center" vertical="center"/>
    </xf>
    <xf numFmtId="3" fontId="17" fillId="3" borderId="1" xfId="9" applyNumberFormat="1" applyFont="1" applyFill="1" applyBorder="1" applyAlignment="1">
      <alignment horizontal="center" vertical="center"/>
    </xf>
    <xf numFmtId="166" fontId="17" fillId="3" borderId="1" xfId="2" applyNumberFormat="1" applyFont="1" applyFill="1" applyBorder="1" applyAlignment="1">
      <alignment horizontal="center" vertical="center"/>
    </xf>
    <xf numFmtId="0" fontId="17" fillId="2" borderId="76" xfId="9" applyFont="1" applyFill="1" applyBorder="1" applyAlignment="1">
      <alignment horizontal="center" vertical="center" wrapText="1"/>
    </xf>
    <xf numFmtId="0" fontId="20" fillId="4" borderId="69" xfId="9" applyFont="1" applyFill="1" applyBorder="1" applyAlignment="1">
      <alignment horizontal="center" vertical="center"/>
    </xf>
    <xf numFmtId="0" fontId="20" fillId="4" borderId="70" xfId="9" applyFont="1" applyFill="1" applyBorder="1" applyAlignment="1">
      <alignment horizontal="center" vertical="center"/>
    </xf>
    <xf numFmtId="0" fontId="20" fillId="4" borderId="66" xfId="9" applyFont="1" applyFill="1" applyBorder="1" applyAlignment="1">
      <alignment horizontal="center" vertical="center"/>
    </xf>
    <xf numFmtId="3" fontId="17" fillId="30" borderId="2" xfId="9" applyNumberFormat="1" applyFont="1" applyFill="1" applyBorder="1" applyAlignment="1">
      <alignment horizontal="center" vertical="center" wrapText="1"/>
    </xf>
    <xf numFmtId="3" fontId="0" fillId="0" borderId="7" xfId="0" applyNumberFormat="1" applyBorder="1"/>
    <xf numFmtId="3" fontId="0" fillId="0" borderId="29" xfId="0" applyNumberFormat="1" applyBorder="1"/>
    <xf numFmtId="2" fontId="14" fillId="2" borderId="2" xfId="9" applyNumberFormat="1" applyFont="1" applyFill="1" applyBorder="1" applyAlignment="1">
      <alignment horizontal="center" vertical="center"/>
    </xf>
    <xf numFmtId="2" fontId="14" fillId="2" borderId="7" xfId="9" applyNumberFormat="1" applyFont="1" applyFill="1" applyBorder="1" applyAlignment="1">
      <alignment horizontal="center" vertical="center"/>
    </xf>
    <xf numFmtId="2" fontId="14" fillId="2" borderId="3" xfId="9" applyNumberFormat="1" applyFont="1" applyFill="1" applyBorder="1" applyAlignment="1">
      <alignment horizontal="center" vertical="center"/>
    </xf>
    <xf numFmtId="164" fontId="17" fillId="30" borderId="2" xfId="9" applyNumberFormat="1" applyFont="1" applyFill="1" applyBorder="1" applyAlignment="1">
      <alignment horizontal="center" vertical="center" wrapText="1"/>
    </xf>
    <xf numFmtId="164" fontId="17" fillId="30" borderId="7" xfId="9" applyNumberFormat="1" applyFont="1" applyFill="1" applyBorder="1" applyAlignment="1">
      <alignment horizontal="center" vertical="center" wrapText="1"/>
    </xf>
    <xf numFmtId="164" fontId="17" fillId="30" borderId="3" xfId="9" applyNumberFormat="1" applyFont="1" applyFill="1" applyBorder="1" applyAlignment="1">
      <alignment horizontal="center" vertical="center" wrapText="1"/>
    </xf>
    <xf numFmtId="2" fontId="14" fillId="2" borderId="68" xfId="9" applyNumberFormat="1" applyFont="1" applyFill="1" applyBorder="1" applyAlignment="1">
      <alignment horizontal="center" vertical="center"/>
    </xf>
    <xf numFmtId="2" fontId="14" fillId="2" borderId="1" xfId="9" applyNumberFormat="1" applyFont="1" applyFill="1" applyBorder="1" applyAlignment="1">
      <alignment horizontal="center" vertical="center"/>
    </xf>
    <xf numFmtId="0" fontId="65" fillId="3" borderId="2" xfId="9" applyFont="1" applyFill="1" applyBorder="1" applyAlignment="1">
      <alignment horizontal="center" vertical="center" wrapText="1"/>
    </xf>
    <xf numFmtId="0" fontId="65" fillId="3" borderId="7" xfId="9" applyFont="1" applyFill="1" applyBorder="1" applyAlignment="1">
      <alignment horizontal="center" vertical="center" wrapText="1"/>
    </xf>
    <xf numFmtId="0" fontId="65" fillId="3" borderId="3" xfId="9" applyFont="1" applyFill="1" applyBorder="1" applyAlignment="1">
      <alignment horizontal="center" vertical="center" wrapText="1"/>
    </xf>
    <xf numFmtId="0" fontId="20" fillId="37" borderId="69" xfId="9" applyFont="1" applyFill="1" applyBorder="1" applyAlignment="1">
      <alignment horizontal="center" vertical="center"/>
    </xf>
    <xf numFmtId="0" fontId="20" fillId="37" borderId="70" xfId="9" applyFont="1" applyFill="1" applyBorder="1" applyAlignment="1">
      <alignment horizontal="center" vertical="center"/>
    </xf>
    <xf numFmtId="0" fontId="20" fillId="37" borderId="66" xfId="9" applyFont="1" applyFill="1" applyBorder="1" applyAlignment="1">
      <alignment horizontal="center" vertical="center"/>
    </xf>
    <xf numFmtId="0" fontId="14" fillId="30" borderId="59" xfId="9" applyFont="1" applyFill="1" applyBorder="1" applyAlignment="1">
      <alignment horizontal="center" vertical="center" wrapText="1"/>
    </xf>
    <xf numFmtId="0" fontId="14" fillId="30" borderId="3" xfId="9" applyFont="1" applyFill="1" applyBorder="1" applyAlignment="1">
      <alignment horizontal="center" vertical="center" wrapText="1"/>
    </xf>
    <xf numFmtId="0" fontId="0" fillId="0" borderId="7" xfId="0" applyBorder="1"/>
    <xf numFmtId="0" fontId="0" fillId="0" borderId="29" xfId="0" applyBorder="1"/>
    <xf numFmtId="3" fontId="17" fillId="3" borderId="2" xfId="9" applyNumberFormat="1" applyFont="1" applyFill="1" applyBorder="1" applyAlignment="1">
      <alignment horizontal="center" vertical="center" wrapText="1"/>
    </xf>
    <xf numFmtId="3" fontId="17" fillId="3" borderId="7" xfId="9" applyNumberFormat="1" applyFont="1" applyFill="1" applyBorder="1" applyAlignment="1">
      <alignment horizontal="center" vertical="center" wrapText="1"/>
    </xf>
    <xf numFmtId="3" fontId="17" fillId="3" borderId="29" xfId="9" applyNumberFormat="1" applyFont="1" applyFill="1" applyBorder="1" applyAlignment="1">
      <alignment horizontal="center" vertical="center" wrapText="1"/>
    </xf>
  </cellXfs>
  <cellStyles count="2033">
    <cellStyle name="20% - Accent1 2" xfId="322" xr:uid="{00000000-0005-0000-0000-000000000000}"/>
    <cellStyle name="20% - Accent1 3" xfId="343" xr:uid="{00000000-0005-0000-0000-000001000000}"/>
    <cellStyle name="20% - Accent2 2" xfId="323" xr:uid="{00000000-0005-0000-0000-000002000000}"/>
    <cellStyle name="20% - Accent2 3" xfId="391" xr:uid="{00000000-0005-0000-0000-000003000000}"/>
    <cellStyle name="20% - Accent3 2" xfId="316" xr:uid="{00000000-0005-0000-0000-000004000000}"/>
    <cellStyle name="20% - Accent3 3" xfId="344" xr:uid="{00000000-0005-0000-0000-000005000000}"/>
    <cellStyle name="20% - Accent4 2" xfId="324" xr:uid="{00000000-0005-0000-0000-000006000000}"/>
    <cellStyle name="20% - Accent4 3" xfId="392" xr:uid="{00000000-0005-0000-0000-000007000000}"/>
    <cellStyle name="20% - Accent5 2" xfId="371" xr:uid="{00000000-0005-0000-0000-000008000000}"/>
    <cellStyle name="20% - Accent5 3" xfId="345" xr:uid="{00000000-0005-0000-0000-000009000000}"/>
    <cellStyle name="20% - Accent6 2" xfId="325" xr:uid="{00000000-0005-0000-0000-00000A000000}"/>
    <cellStyle name="20% - Accent6 3" xfId="393" xr:uid="{00000000-0005-0000-0000-00000B000000}"/>
    <cellStyle name="40% - Accent1 2" xfId="372" xr:uid="{00000000-0005-0000-0000-00000C000000}"/>
    <cellStyle name="40% - Accent1 3" xfId="346" xr:uid="{00000000-0005-0000-0000-00000D000000}"/>
    <cellStyle name="40% - Accent2 2" xfId="326" xr:uid="{00000000-0005-0000-0000-00000E000000}"/>
    <cellStyle name="40% - Accent2 3" xfId="394" xr:uid="{00000000-0005-0000-0000-00000F000000}"/>
    <cellStyle name="40% - Accent3 2" xfId="373" xr:uid="{00000000-0005-0000-0000-000010000000}"/>
    <cellStyle name="40% - Accent3 3" xfId="347" xr:uid="{00000000-0005-0000-0000-000011000000}"/>
    <cellStyle name="40% - Accent4 2" xfId="327" xr:uid="{00000000-0005-0000-0000-000012000000}"/>
    <cellStyle name="40% - Accent4 3" xfId="395" xr:uid="{00000000-0005-0000-0000-000013000000}"/>
    <cellStyle name="40% - Accent5 2" xfId="374" xr:uid="{00000000-0005-0000-0000-000014000000}"/>
    <cellStyle name="40% - Accent5 3" xfId="348" xr:uid="{00000000-0005-0000-0000-000015000000}"/>
    <cellStyle name="40% - Accent6 2" xfId="328" xr:uid="{00000000-0005-0000-0000-000016000000}"/>
    <cellStyle name="40% - Accent6 3" xfId="370" xr:uid="{00000000-0005-0000-0000-000017000000}"/>
    <cellStyle name="60% - Accent1 2" xfId="375" xr:uid="{00000000-0005-0000-0000-000018000000}"/>
    <cellStyle name="60% - Accent1 3" xfId="349" xr:uid="{00000000-0005-0000-0000-000019000000}"/>
    <cellStyle name="60% - Accent2 2" xfId="329" xr:uid="{00000000-0005-0000-0000-00001A000000}"/>
    <cellStyle name="60% - Accent2 3" xfId="396" xr:uid="{00000000-0005-0000-0000-00001B000000}"/>
    <cellStyle name="60% - Accent3 2" xfId="376" xr:uid="{00000000-0005-0000-0000-00001C000000}"/>
    <cellStyle name="60% - Accent3 3" xfId="350" xr:uid="{00000000-0005-0000-0000-00001D000000}"/>
    <cellStyle name="60% - Accent4 2" xfId="330" xr:uid="{00000000-0005-0000-0000-00001E000000}"/>
    <cellStyle name="60% - Accent4 3" xfId="397" xr:uid="{00000000-0005-0000-0000-00001F000000}"/>
    <cellStyle name="60% - Accent5 2" xfId="377" xr:uid="{00000000-0005-0000-0000-000020000000}"/>
    <cellStyle name="60% - Accent5 3" xfId="351" xr:uid="{00000000-0005-0000-0000-000021000000}"/>
    <cellStyle name="60% - Accent6 2" xfId="331" xr:uid="{00000000-0005-0000-0000-000022000000}"/>
    <cellStyle name="60% - Accent6 3" xfId="398" xr:uid="{00000000-0005-0000-0000-000023000000}"/>
    <cellStyle name="Accent1 2" xfId="378" xr:uid="{00000000-0005-0000-0000-000024000000}"/>
    <cellStyle name="Accent1 3" xfId="352" xr:uid="{00000000-0005-0000-0000-000025000000}"/>
    <cellStyle name="Accent2 2" xfId="332" xr:uid="{00000000-0005-0000-0000-000026000000}"/>
    <cellStyle name="Accent2 3" xfId="399" xr:uid="{00000000-0005-0000-0000-000027000000}"/>
    <cellStyle name="Accent3 2" xfId="379" xr:uid="{00000000-0005-0000-0000-000028000000}"/>
    <cellStyle name="Accent3 3" xfId="353" xr:uid="{00000000-0005-0000-0000-000029000000}"/>
    <cellStyle name="Accent4 2" xfId="333" xr:uid="{00000000-0005-0000-0000-00002A000000}"/>
    <cellStyle name="Accent4 3" xfId="400" xr:uid="{00000000-0005-0000-0000-00002B000000}"/>
    <cellStyle name="Accent5 2" xfId="380" xr:uid="{00000000-0005-0000-0000-00002C000000}"/>
    <cellStyle name="Accent5 3" xfId="354" xr:uid="{00000000-0005-0000-0000-00002D000000}"/>
    <cellStyle name="Accent6 2" xfId="334" xr:uid="{00000000-0005-0000-0000-00002E000000}"/>
    <cellStyle name="Accent6 3" xfId="401" xr:uid="{00000000-0005-0000-0000-00002F000000}"/>
    <cellStyle name="Bad 2" xfId="369" xr:uid="{00000000-0005-0000-0000-000030000000}"/>
    <cellStyle name="Bad 3" xfId="355" xr:uid="{00000000-0005-0000-0000-000031000000}"/>
    <cellStyle name="Calculation 2" xfId="413" xr:uid="{00000000-0005-0000-0000-000032000000}"/>
    <cellStyle name="Calculation 2 2" xfId="486" xr:uid="{00000000-0005-0000-0000-000033000000}"/>
    <cellStyle name="Calculation 2 2 2" xfId="517" xr:uid="{00000000-0005-0000-0000-000034000000}"/>
    <cellStyle name="Calculation 2 2 2 2" xfId="520" xr:uid="{00000000-0005-0000-0000-000035000000}"/>
    <cellStyle name="Calculation 2 2 2 2 2" xfId="603" xr:uid="{00000000-0005-0000-0000-000036000000}"/>
    <cellStyle name="Calculation 2 2 2 2 2 2" xfId="819" xr:uid="{00000000-0005-0000-0000-000037000000}"/>
    <cellStyle name="Calculation 2 2 2 2 2 2 2" xfId="1610" xr:uid="{00000000-0005-0000-0000-000038000000}"/>
    <cellStyle name="Calculation 2 2 2 2 2 3" xfId="939" xr:uid="{00000000-0005-0000-0000-000039000000}"/>
    <cellStyle name="Calculation 2 2 2 2 2 3 2" xfId="1730" xr:uid="{00000000-0005-0000-0000-00003A000000}"/>
    <cellStyle name="Calculation 2 2 2 2 2 4" xfId="735" xr:uid="{00000000-0005-0000-0000-00003B000000}"/>
    <cellStyle name="Calculation 2 2 2 2 2 4 2" xfId="1526" xr:uid="{00000000-0005-0000-0000-00003C000000}"/>
    <cellStyle name="Calculation 2 2 2 2 2 5" xfId="1083" xr:uid="{00000000-0005-0000-0000-00003D000000}"/>
    <cellStyle name="Calculation 2 2 2 2 2 5 2" xfId="1874" xr:uid="{00000000-0005-0000-0000-00003E000000}"/>
    <cellStyle name="Calculation 2 2 2 2 2 6" xfId="1203" xr:uid="{00000000-0005-0000-0000-00003F000000}"/>
    <cellStyle name="Calculation 2 2 2 2 2 6 2" xfId="1994" xr:uid="{00000000-0005-0000-0000-000040000000}"/>
    <cellStyle name="Calculation 2 2 2 2 2 7" xfId="1394" xr:uid="{00000000-0005-0000-0000-000041000000}"/>
    <cellStyle name="Calculation 2 2 2 2 3" xfId="738" xr:uid="{00000000-0005-0000-0000-000042000000}"/>
    <cellStyle name="Calculation 2 2 2 2 3 2" xfId="1529" xr:uid="{00000000-0005-0000-0000-000043000000}"/>
    <cellStyle name="Calculation 2 2 2 2 4" xfId="859" xr:uid="{00000000-0005-0000-0000-000044000000}"/>
    <cellStyle name="Calculation 2 2 2 2 4 2" xfId="1650" xr:uid="{00000000-0005-0000-0000-000045000000}"/>
    <cellStyle name="Calculation 2 2 2 2 5" xfId="683" xr:uid="{00000000-0005-0000-0000-000046000000}"/>
    <cellStyle name="Calculation 2 2 2 2 5 2" xfId="1474" xr:uid="{00000000-0005-0000-0000-000047000000}"/>
    <cellStyle name="Calculation 2 2 2 2 6" xfId="1003" xr:uid="{00000000-0005-0000-0000-000048000000}"/>
    <cellStyle name="Calculation 2 2 2 2 6 2" xfId="1794" xr:uid="{00000000-0005-0000-0000-000049000000}"/>
    <cellStyle name="Calculation 2 2 2 2 7" xfId="1123" xr:uid="{00000000-0005-0000-0000-00004A000000}"/>
    <cellStyle name="Calculation 2 2 2 2 7 2" xfId="1914" xr:uid="{00000000-0005-0000-0000-00004B000000}"/>
    <cellStyle name="Calculation 2 2 2 2 8" xfId="1314" xr:uid="{00000000-0005-0000-0000-00004C000000}"/>
    <cellStyle name="Calculation 2 2 2 3" xfId="600" xr:uid="{00000000-0005-0000-0000-00004D000000}"/>
    <cellStyle name="Calculation 2 2 2 3 2" xfId="816" xr:uid="{00000000-0005-0000-0000-00004E000000}"/>
    <cellStyle name="Calculation 2 2 2 3 2 2" xfId="1607" xr:uid="{00000000-0005-0000-0000-00004F000000}"/>
    <cellStyle name="Calculation 2 2 2 3 3" xfId="936" xr:uid="{00000000-0005-0000-0000-000050000000}"/>
    <cellStyle name="Calculation 2 2 2 3 3 2" xfId="1727" xr:uid="{00000000-0005-0000-0000-000051000000}"/>
    <cellStyle name="Calculation 2 2 2 3 4" xfId="698" xr:uid="{00000000-0005-0000-0000-000052000000}"/>
    <cellStyle name="Calculation 2 2 2 3 4 2" xfId="1489" xr:uid="{00000000-0005-0000-0000-000053000000}"/>
    <cellStyle name="Calculation 2 2 2 3 5" xfId="1080" xr:uid="{00000000-0005-0000-0000-000054000000}"/>
    <cellStyle name="Calculation 2 2 2 3 5 2" xfId="1871" xr:uid="{00000000-0005-0000-0000-000055000000}"/>
    <cellStyle name="Calculation 2 2 2 3 6" xfId="1200" xr:uid="{00000000-0005-0000-0000-000056000000}"/>
    <cellStyle name="Calculation 2 2 2 3 6 2" xfId="1991" xr:uid="{00000000-0005-0000-0000-000057000000}"/>
    <cellStyle name="Calculation 2 2 2 3 7" xfId="1391" xr:uid="{00000000-0005-0000-0000-000058000000}"/>
    <cellStyle name="Calculation 2 2 2 4" xfId="1311" xr:uid="{00000000-0005-0000-0000-000059000000}"/>
    <cellStyle name="Calculation 2 2 3" xfId="519" xr:uid="{00000000-0005-0000-0000-00005A000000}"/>
    <cellStyle name="Calculation 2 2 3 2" xfId="602" xr:uid="{00000000-0005-0000-0000-00005B000000}"/>
    <cellStyle name="Calculation 2 2 3 2 2" xfId="818" xr:uid="{00000000-0005-0000-0000-00005C000000}"/>
    <cellStyle name="Calculation 2 2 3 2 2 2" xfId="1609" xr:uid="{00000000-0005-0000-0000-00005D000000}"/>
    <cellStyle name="Calculation 2 2 3 2 3" xfId="938" xr:uid="{00000000-0005-0000-0000-00005E000000}"/>
    <cellStyle name="Calculation 2 2 3 2 3 2" xfId="1729" xr:uid="{00000000-0005-0000-0000-00005F000000}"/>
    <cellStyle name="Calculation 2 2 3 2 4" xfId="644" xr:uid="{00000000-0005-0000-0000-000060000000}"/>
    <cellStyle name="Calculation 2 2 3 2 4 2" xfId="1435" xr:uid="{00000000-0005-0000-0000-000061000000}"/>
    <cellStyle name="Calculation 2 2 3 2 5" xfId="1082" xr:uid="{00000000-0005-0000-0000-000062000000}"/>
    <cellStyle name="Calculation 2 2 3 2 5 2" xfId="1873" xr:uid="{00000000-0005-0000-0000-000063000000}"/>
    <cellStyle name="Calculation 2 2 3 2 6" xfId="1202" xr:uid="{00000000-0005-0000-0000-000064000000}"/>
    <cellStyle name="Calculation 2 2 3 2 6 2" xfId="1993" xr:uid="{00000000-0005-0000-0000-000065000000}"/>
    <cellStyle name="Calculation 2 2 3 2 7" xfId="1393" xr:uid="{00000000-0005-0000-0000-000066000000}"/>
    <cellStyle name="Calculation 2 2 3 3" xfId="737" xr:uid="{00000000-0005-0000-0000-000067000000}"/>
    <cellStyle name="Calculation 2 2 3 3 2" xfId="1528" xr:uid="{00000000-0005-0000-0000-000068000000}"/>
    <cellStyle name="Calculation 2 2 3 4" xfId="858" xr:uid="{00000000-0005-0000-0000-000069000000}"/>
    <cellStyle name="Calculation 2 2 3 4 2" xfId="1649" xr:uid="{00000000-0005-0000-0000-00006A000000}"/>
    <cellStyle name="Calculation 2 2 3 5" xfId="715" xr:uid="{00000000-0005-0000-0000-00006B000000}"/>
    <cellStyle name="Calculation 2 2 3 5 2" xfId="1506" xr:uid="{00000000-0005-0000-0000-00006C000000}"/>
    <cellStyle name="Calculation 2 2 3 6" xfId="1002" xr:uid="{00000000-0005-0000-0000-00006D000000}"/>
    <cellStyle name="Calculation 2 2 3 6 2" xfId="1793" xr:uid="{00000000-0005-0000-0000-00006E000000}"/>
    <cellStyle name="Calculation 2 2 3 7" xfId="1122" xr:uid="{00000000-0005-0000-0000-00006F000000}"/>
    <cellStyle name="Calculation 2 2 3 7 2" xfId="1913" xr:uid="{00000000-0005-0000-0000-000070000000}"/>
    <cellStyle name="Calculation 2 2 3 8" xfId="1313" xr:uid="{00000000-0005-0000-0000-000071000000}"/>
    <cellStyle name="Calculation 2 2 4" xfId="580" xr:uid="{00000000-0005-0000-0000-000072000000}"/>
    <cellStyle name="Calculation 2 2 4 2" xfId="796" xr:uid="{00000000-0005-0000-0000-000073000000}"/>
    <cellStyle name="Calculation 2 2 4 2 2" xfId="1587" xr:uid="{00000000-0005-0000-0000-000074000000}"/>
    <cellStyle name="Calculation 2 2 4 3" xfId="916" xr:uid="{00000000-0005-0000-0000-000075000000}"/>
    <cellStyle name="Calculation 2 2 4 3 2" xfId="1707" xr:uid="{00000000-0005-0000-0000-000076000000}"/>
    <cellStyle name="Calculation 2 2 4 4" xfId="992" xr:uid="{00000000-0005-0000-0000-000077000000}"/>
    <cellStyle name="Calculation 2 2 4 4 2" xfId="1783" xr:uid="{00000000-0005-0000-0000-000078000000}"/>
    <cellStyle name="Calculation 2 2 4 5" xfId="1060" xr:uid="{00000000-0005-0000-0000-000079000000}"/>
    <cellStyle name="Calculation 2 2 4 5 2" xfId="1851" xr:uid="{00000000-0005-0000-0000-00007A000000}"/>
    <cellStyle name="Calculation 2 2 4 6" xfId="1180" xr:uid="{00000000-0005-0000-0000-00007B000000}"/>
    <cellStyle name="Calculation 2 2 4 6 2" xfId="1971" xr:uid="{00000000-0005-0000-0000-00007C000000}"/>
    <cellStyle name="Calculation 2 2 4 7" xfId="1371" xr:uid="{00000000-0005-0000-0000-00007D000000}"/>
    <cellStyle name="Calculation 2 2 5" xfId="1291" xr:uid="{00000000-0005-0000-0000-00007E000000}"/>
    <cellStyle name="Calculation 2 3" xfId="507" xr:uid="{00000000-0005-0000-0000-00007F000000}"/>
    <cellStyle name="Calculation 2 3 2" xfId="521" xr:uid="{00000000-0005-0000-0000-000080000000}"/>
    <cellStyle name="Calculation 2 3 2 2" xfId="604" xr:uid="{00000000-0005-0000-0000-000081000000}"/>
    <cellStyle name="Calculation 2 3 2 2 2" xfId="820" xr:uid="{00000000-0005-0000-0000-000082000000}"/>
    <cellStyle name="Calculation 2 3 2 2 2 2" xfId="1611" xr:uid="{00000000-0005-0000-0000-000083000000}"/>
    <cellStyle name="Calculation 2 3 2 2 3" xfId="940" xr:uid="{00000000-0005-0000-0000-000084000000}"/>
    <cellStyle name="Calculation 2 3 2 2 3 2" xfId="1731" xr:uid="{00000000-0005-0000-0000-000085000000}"/>
    <cellStyle name="Calculation 2 3 2 2 4" xfId="719" xr:uid="{00000000-0005-0000-0000-000086000000}"/>
    <cellStyle name="Calculation 2 3 2 2 4 2" xfId="1510" xr:uid="{00000000-0005-0000-0000-000087000000}"/>
    <cellStyle name="Calculation 2 3 2 2 5" xfId="1084" xr:uid="{00000000-0005-0000-0000-000088000000}"/>
    <cellStyle name="Calculation 2 3 2 2 5 2" xfId="1875" xr:uid="{00000000-0005-0000-0000-000089000000}"/>
    <cellStyle name="Calculation 2 3 2 2 6" xfId="1204" xr:uid="{00000000-0005-0000-0000-00008A000000}"/>
    <cellStyle name="Calculation 2 3 2 2 6 2" xfId="1995" xr:uid="{00000000-0005-0000-0000-00008B000000}"/>
    <cellStyle name="Calculation 2 3 2 2 7" xfId="1395" xr:uid="{00000000-0005-0000-0000-00008C000000}"/>
    <cellStyle name="Calculation 2 3 2 3" xfId="739" xr:uid="{00000000-0005-0000-0000-00008D000000}"/>
    <cellStyle name="Calculation 2 3 2 3 2" xfId="1530" xr:uid="{00000000-0005-0000-0000-00008E000000}"/>
    <cellStyle name="Calculation 2 3 2 4" xfId="860" xr:uid="{00000000-0005-0000-0000-00008F000000}"/>
    <cellStyle name="Calculation 2 3 2 4 2" xfId="1651" xr:uid="{00000000-0005-0000-0000-000090000000}"/>
    <cellStyle name="Calculation 2 3 2 5" xfId="707" xr:uid="{00000000-0005-0000-0000-000091000000}"/>
    <cellStyle name="Calculation 2 3 2 5 2" xfId="1498" xr:uid="{00000000-0005-0000-0000-000092000000}"/>
    <cellStyle name="Calculation 2 3 2 6" xfId="1004" xr:uid="{00000000-0005-0000-0000-000093000000}"/>
    <cellStyle name="Calculation 2 3 2 6 2" xfId="1795" xr:uid="{00000000-0005-0000-0000-000094000000}"/>
    <cellStyle name="Calculation 2 3 2 7" xfId="1124" xr:uid="{00000000-0005-0000-0000-000095000000}"/>
    <cellStyle name="Calculation 2 3 2 7 2" xfId="1915" xr:uid="{00000000-0005-0000-0000-000096000000}"/>
    <cellStyle name="Calculation 2 3 2 8" xfId="1315" xr:uid="{00000000-0005-0000-0000-000097000000}"/>
    <cellStyle name="Calculation 2 3 3" xfId="590" xr:uid="{00000000-0005-0000-0000-000098000000}"/>
    <cellStyle name="Calculation 2 3 3 2" xfId="806" xr:uid="{00000000-0005-0000-0000-000099000000}"/>
    <cellStyle name="Calculation 2 3 3 2 2" xfId="1597" xr:uid="{00000000-0005-0000-0000-00009A000000}"/>
    <cellStyle name="Calculation 2 3 3 3" xfId="926" xr:uid="{00000000-0005-0000-0000-00009B000000}"/>
    <cellStyle name="Calculation 2 3 3 3 2" xfId="1717" xr:uid="{00000000-0005-0000-0000-00009C000000}"/>
    <cellStyle name="Calculation 2 3 3 4" xfId="694" xr:uid="{00000000-0005-0000-0000-00009D000000}"/>
    <cellStyle name="Calculation 2 3 3 4 2" xfId="1485" xr:uid="{00000000-0005-0000-0000-00009E000000}"/>
    <cellStyle name="Calculation 2 3 3 5" xfId="1070" xr:uid="{00000000-0005-0000-0000-00009F000000}"/>
    <cellStyle name="Calculation 2 3 3 5 2" xfId="1861" xr:uid="{00000000-0005-0000-0000-0000A0000000}"/>
    <cellStyle name="Calculation 2 3 3 6" xfId="1190" xr:uid="{00000000-0005-0000-0000-0000A1000000}"/>
    <cellStyle name="Calculation 2 3 3 6 2" xfId="1981" xr:uid="{00000000-0005-0000-0000-0000A2000000}"/>
    <cellStyle name="Calculation 2 3 3 7" xfId="1381" xr:uid="{00000000-0005-0000-0000-0000A3000000}"/>
    <cellStyle name="Calculation 2 3 4" xfId="1301" xr:uid="{00000000-0005-0000-0000-0000A4000000}"/>
    <cellStyle name="Calculation 2 4" xfId="518" xr:uid="{00000000-0005-0000-0000-0000A5000000}"/>
    <cellStyle name="Calculation 2 4 2" xfId="601" xr:uid="{00000000-0005-0000-0000-0000A6000000}"/>
    <cellStyle name="Calculation 2 4 2 2" xfId="817" xr:uid="{00000000-0005-0000-0000-0000A7000000}"/>
    <cellStyle name="Calculation 2 4 2 2 2" xfId="1608" xr:uid="{00000000-0005-0000-0000-0000A8000000}"/>
    <cellStyle name="Calculation 2 4 2 3" xfId="937" xr:uid="{00000000-0005-0000-0000-0000A9000000}"/>
    <cellStyle name="Calculation 2 4 2 3 2" xfId="1728" xr:uid="{00000000-0005-0000-0000-0000AA000000}"/>
    <cellStyle name="Calculation 2 4 2 4" xfId="676" xr:uid="{00000000-0005-0000-0000-0000AB000000}"/>
    <cellStyle name="Calculation 2 4 2 4 2" xfId="1467" xr:uid="{00000000-0005-0000-0000-0000AC000000}"/>
    <cellStyle name="Calculation 2 4 2 5" xfId="1081" xr:uid="{00000000-0005-0000-0000-0000AD000000}"/>
    <cellStyle name="Calculation 2 4 2 5 2" xfId="1872" xr:uid="{00000000-0005-0000-0000-0000AE000000}"/>
    <cellStyle name="Calculation 2 4 2 6" xfId="1201" xr:uid="{00000000-0005-0000-0000-0000AF000000}"/>
    <cellStyle name="Calculation 2 4 2 6 2" xfId="1992" xr:uid="{00000000-0005-0000-0000-0000B0000000}"/>
    <cellStyle name="Calculation 2 4 2 7" xfId="1392" xr:uid="{00000000-0005-0000-0000-0000B1000000}"/>
    <cellStyle name="Calculation 2 4 3" xfId="736" xr:uid="{00000000-0005-0000-0000-0000B2000000}"/>
    <cellStyle name="Calculation 2 4 3 2" xfId="1527" xr:uid="{00000000-0005-0000-0000-0000B3000000}"/>
    <cellStyle name="Calculation 2 4 4" xfId="857" xr:uid="{00000000-0005-0000-0000-0000B4000000}"/>
    <cellStyle name="Calculation 2 4 4 2" xfId="1648" xr:uid="{00000000-0005-0000-0000-0000B5000000}"/>
    <cellStyle name="Calculation 2 4 5" xfId="730" xr:uid="{00000000-0005-0000-0000-0000B6000000}"/>
    <cellStyle name="Calculation 2 4 5 2" xfId="1521" xr:uid="{00000000-0005-0000-0000-0000B7000000}"/>
    <cellStyle name="Calculation 2 4 6" xfId="1001" xr:uid="{00000000-0005-0000-0000-0000B8000000}"/>
    <cellStyle name="Calculation 2 4 6 2" xfId="1792" xr:uid="{00000000-0005-0000-0000-0000B9000000}"/>
    <cellStyle name="Calculation 2 4 7" xfId="1121" xr:uid="{00000000-0005-0000-0000-0000BA000000}"/>
    <cellStyle name="Calculation 2 4 7 2" xfId="1912" xr:uid="{00000000-0005-0000-0000-0000BB000000}"/>
    <cellStyle name="Calculation 2 4 8" xfId="1312" xr:uid="{00000000-0005-0000-0000-0000BC000000}"/>
    <cellStyle name="Calculation 2 5" xfId="570" xr:uid="{00000000-0005-0000-0000-0000BD000000}"/>
    <cellStyle name="Calculation 2 5 2" xfId="786" xr:uid="{00000000-0005-0000-0000-0000BE000000}"/>
    <cellStyle name="Calculation 2 5 2 2" xfId="1577" xr:uid="{00000000-0005-0000-0000-0000BF000000}"/>
    <cellStyle name="Calculation 2 5 3" xfId="906" xr:uid="{00000000-0005-0000-0000-0000C0000000}"/>
    <cellStyle name="Calculation 2 5 3 2" xfId="1697" xr:uid="{00000000-0005-0000-0000-0000C1000000}"/>
    <cellStyle name="Calculation 2 5 4" xfId="641" xr:uid="{00000000-0005-0000-0000-0000C2000000}"/>
    <cellStyle name="Calculation 2 5 4 2" xfId="1432" xr:uid="{00000000-0005-0000-0000-0000C3000000}"/>
    <cellStyle name="Calculation 2 5 5" xfId="1050" xr:uid="{00000000-0005-0000-0000-0000C4000000}"/>
    <cellStyle name="Calculation 2 5 5 2" xfId="1841" xr:uid="{00000000-0005-0000-0000-0000C5000000}"/>
    <cellStyle name="Calculation 2 5 6" xfId="1170" xr:uid="{00000000-0005-0000-0000-0000C6000000}"/>
    <cellStyle name="Calculation 2 5 6 2" xfId="1961" xr:uid="{00000000-0005-0000-0000-0000C7000000}"/>
    <cellStyle name="Calculation 2 5 7" xfId="1361" xr:uid="{00000000-0005-0000-0000-0000C8000000}"/>
    <cellStyle name="Calculation 2 6" xfId="1280" xr:uid="{00000000-0005-0000-0000-0000C9000000}"/>
    <cellStyle name="Calculation 3" xfId="402" xr:uid="{00000000-0005-0000-0000-0000CA000000}"/>
    <cellStyle name="Calculation 3 2" xfId="483" xr:uid="{00000000-0005-0000-0000-0000CB000000}"/>
    <cellStyle name="Calculation 3 2 2" xfId="514" xr:uid="{00000000-0005-0000-0000-0000CC000000}"/>
    <cellStyle name="Calculation 3 2 2 2" xfId="524" xr:uid="{00000000-0005-0000-0000-0000CD000000}"/>
    <cellStyle name="Calculation 3 2 2 2 2" xfId="607" xr:uid="{00000000-0005-0000-0000-0000CE000000}"/>
    <cellStyle name="Calculation 3 2 2 2 2 2" xfId="823" xr:uid="{00000000-0005-0000-0000-0000CF000000}"/>
    <cellStyle name="Calculation 3 2 2 2 2 2 2" xfId="1614" xr:uid="{00000000-0005-0000-0000-0000D0000000}"/>
    <cellStyle name="Calculation 3 2 2 2 2 3" xfId="943" xr:uid="{00000000-0005-0000-0000-0000D1000000}"/>
    <cellStyle name="Calculation 3 2 2 2 2 3 2" xfId="1734" xr:uid="{00000000-0005-0000-0000-0000D2000000}"/>
    <cellStyle name="Calculation 3 2 2 2 2 4" xfId="673" xr:uid="{00000000-0005-0000-0000-0000D3000000}"/>
    <cellStyle name="Calculation 3 2 2 2 2 4 2" xfId="1464" xr:uid="{00000000-0005-0000-0000-0000D4000000}"/>
    <cellStyle name="Calculation 3 2 2 2 2 5" xfId="1087" xr:uid="{00000000-0005-0000-0000-0000D5000000}"/>
    <cellStyle name="Calculation 3 2 2 2 2 5 2" xfId="1878" xr:uid="{00000000-0005-0000-0000-0000D6000000}"/>
    <cellStyle name="Calculation 3 2 2 2 2 6" xfId="1207" xr:uid="{00000000-0005-0000-0000-0000D7000000}"/>
    <cellStyle name="Calculation 3 2 2 2 2 6 2" xfId="1998" xr:uid="{00000000-0005-0000-0000-0000D8000000}"/>
    <cellStyle name="Calculation 3 2 2 2 2 7" xfId="1398" xr:uid="{00000000-0005-0000-0000-0000D9000000}"/>
    <cellStyle name="Calculation 3 2 2 2 3" xfId="742" xr:uid="{00000000-0005-0000-0000-0000DA000000}"/>
    <cellStyle name="Calculation 3 2 2 2 3 2" xfId="1533" xr:uid="{00000000-0005-0000-0000-0000DB000000}"/>
    <cellStyle name="Calculation 3 2 2 2 4" xfId="863" xr:uid="{00000000-0005-0000-0000-0000DC000000}"/>
    <cellStyle name="Calculation 3 2 2 2 4 2" xfId="1654" xr:uid="{00000000-0005-0000-0000-0000DD000000}"/>
    <cellStyle name="Calculation 3 2 2 2 5" xfId="704" xr:uid="{00000000-0005-0000-0000-0000DE000000}"/>
    <cellStyle name="Calculation 3 2 2 2 5 2" xfId="1495" xr:uid="{00000000-0005-0000-0000-0000DF000000}"/>
    <cellStyle name="Calculation 3 2 2 2 6" xfId="1007" xr:uid="{00000000-0005-0000-0000-0000E0000000}"/>
    <cellStyle name="Calculation 3 2 2 2 6 2" xfId="1798" xr:uid="{00000000-0005-0000-0000-0000E1000000}"/>
    <cellStyle name="Calculation 3 2 2 2 7" xfId="1127" xr:uid="{00000000-0005-0000-0000-0000E2000000}"/>
    <cellStyle name="Calculation 3 2 2 2 7 2" xfId="1918" xr:uid="{00000000-0005-0000-0000-0000E3000000}"/>
    <cellStyle name="Calculation 3 2 2 2 8" xfId="1318" xr:uid="{00000000-0005-0000-0000-0000E4000000}"/>
    <cellStyle name="Calculation 3 2 2 3" xfId="597" xr:uid="{00000000-0005-0000-0000-0000E5000000}"/>
    <cellStyle name="Calculation 3 2 2 3 2" xfId="813" xr:uid="{00000000-0005-0000-0000-0000E6000000}"/>
    <cellStyle name="Calculation 3 2 2 3 2 2" xfId="1604" xr:uid="{00000000-0005-0000-0000-0000E7000000}"/>
    <cellStyle name="Calculation 3 2 2 3 3" xfId="933" xr:uid="{00000000-0005-0000-0000-0000E8000000}"/>
    <cellStyle name="Calculation 3 2 2 3 3 2" xfId="1724" xr:uid="{00000000-0005-0000-0000-0000E9000000}"/>
    <cellStyle name="Calculation 3 2 2 3 4" xfId="684" xr:uid="{00000000-0005-0000-0000-0000EA000000}"/>
    <cellStyle name="Calculation 3 2 2 3 4 2" xfId="1475" xr:uid="{00000000-0005-0000-0000-0000EB000000}"/>
    <cellStyle name="Calculation 3 2 2 3 5" xfId="1077" xr:uid="{00000000-0005-0000-0000-0000EC000000}"/>
    <cellStyle name="Calculation 3 2 2 3 5 2" xfId="1868" xr:uid="{00000000-0005-0000-0000-0000ED000000}"/>
    <cellStyle name="Calculation 3 2 2 3 6" xfId="1197" xr:uid="{00000000-0005-0000-0000-0000EE000000}"/>
    <cellStyle name="Calculation 3 2 2 3 6 2" xfId="1988" xr:uid="{00000000-0005-0000-0000-0000EF000000}"/>
    <cellStyle name="Calculation 3 2 2 3 7" xfId="1388" xr:uid="{00000000-0005-0000-0000-0000F0000000}"/>
    <cellStyle name="Calculation 3 2 2 4" xfId="1308" xr:uid="{00000000-0005-0000-0000-0000F1000000}"/>
    <cellStyle name="Calculation 3 2 3" xfId="523" xr:uid="{00000000-0005-0000-0000-0000F2000000}"/>
    <cellStyle name="Calculation 3 2 3 2" xfId="606" xr:uid="{00000000-0005-0000-0000-0000F3000000}"/>
    <cellStyle name="Calculation 3 2 3 2 2" xfId="822" xr:uid="{00000000-0005-0000-0000-0000F4000000}"/>
    <cellStyle name="Calculation 3 2 3 2 2 2" xfId="1613" xr:uid="{00000000-0005-0000-0000-0000F5000000}"/>
    <cellStyle name="Calculation 3 2 3 2 3" xfId="942" xr:uid="{00000000-0005-0000-0000-0000F6000000}"/>
    <cellStyle name="Calculation 3 2 3 2 3 2" xfId="1733" xr:uid="{00000000-0005-0000-0000-0000F7000000}"/>
    <cellStyle name="Calculation 3 2 3 2 4" xfId="659" xr:uid="{00000000-0005-0000-0000-0000F8000000}"/>
    <cellStyle name="Calculation 3 2 3 2 4 2" xfId="1450" xr:uid="{00000000-0005-0000-0000-0000F9000000}"/>
    <cellStyle name="Calculation 3 2 3 2 5" xfId="1086" xr:uid="{00000000-0005-0000-0000-0000FA000000}"/>
    <cellStyle name="Calculation 3 2 3 2 5 2" xfId="1877" xr:uid="{00000000-0005-0000-0000-0000FB000000}"/>
    <cellStyle name="Calculation 3 2 3 2 6" xfId="1206" xr:uid="{00000000-0005-0000-0000-0000FC000000}"/>
    <cellStyle name="Calculation 3 2 3 2 6 2" xfId="1997" xr:uid="{00000000-0005-0000-0000-0000FD000000}"/>
    <cellStyle name="Calculation 3 2 3 2 7" xfId="1397" xr:uid="{00000000-0005-0000-0000-0000FE000000}"/>
    <cellStyle name="Calculation 3 2 3 3" xfId="741" xr:uid="{00000000-0005-0000-0000-0000FF000000}"/>
    <cellStyle name="Calculation 3 2 3 3 2" xfId="1532" xr:uid="{00000000-0005-0000-0000-000000010000}"/>
    <cellStyle name="Calculation 3 2 3 4" xfId="862" xr:uid="{00000000-0005-0000-0000-000001010000}"/>
    <cellStyle name="Calculation 3 2 3 4 2" xfId="1653" xr:uid="{00000000-0005-0000-0000-000002010000}"/>
    <cellStyle name="Calculation 3 2 3 5" xfId="663" xr:uid="{00000000-0005-0000-0000-000003010000}"/>
    <cellStyle name="Calculation 3 2 3 5 2" xfId="1454" xr:uid="{00000000-0005-0000-0000-000004010000}"/>
    <cellStyle name="Calculation 3 2 3 6" xfId="1006" xr:uid="{00000000-0005-0000-0000-000005010000}"/>
    <cellStyle name="Calculation 3 2 3 6 2" xfId="1797" xr:uid="{00000000-0005-0000-0000-000006010000}"/>
    <cellStyle name="Calculation 3 2 3 7" xfId="1126" xr:uid="{00000000-0005-0000-0000-000007010000}"/>
    <cellStyle name="Calculation 3 2 3 7 2" xfId="1917" xr:uid="{00000000-0005-0000-0000-000008010000}"/>
    <cellStyle name="Calculation 3 2 3 8" xfId="1317" xr:uid="{00000000-0005-0000-0000-000009010000}"/>
    <cellStyle name="Calculation 3 2 4" xfId="577" xr:uid="{00000000-0005-0000-0000-00000A010000}"/>
    <cellStyle name="Calculation 3 2 4 2" xfId="793" xr:uid="{00000000-0005-0000-0000-00000B010000}"/>
    <cellStyle name="Calculation 3 2 4 2 2" xfId="1584" xr:uid="{00000000-0005-0000-0000-00000C010000}"/>
    <cellStyle name="Calculation 3 2 4 3" xfId="913" xr:uid="{00000000-0005-0000-0000-00000D010000}"/>
    <cellStyle name="Calculation 3 2 4 3 2" xfId="1704" xr:uid="{00000000-0005-0000-0000-00000E010000}"/>
    <cellStyle name="Calculation 3 2 4 4" xfId="980" xr:uid="{00000000-0005-0000-0000-00000F010000}"/>
    <cellStyle name="Calculation 3 2 4 4 2" xfId="1771" xr:uid="{00000000-0005-0000-0000-000010010000}"/>
    <cellStyle name="Calculation 3 2 4 5" xfId="1057" xr:uid="{00000000-0005-0000-0000-000011010000}"/>
    <cellStyle name="Calculation 3 2 4 5 2" xfId="1848" xr:uid="{00000000-0005-0000-0000-000012010000}"/>
    <cellStyle name="Calculation 3 2 4 6" xfId="1177" xr:uid="{00000000-0005-0000-0000-000013010000}"/>
    <cellStyle name="Calculation 3 2 4 6 2" xfId="1968" xr:uid="{00000000-0005-0000-0000-000014010000}"/>
    <cellStyle name="Calculation 3 2 4 7" xfId="1368" xr:uid="{00000000-0005-0000-0000-000015010000}"/>
    <cellStyle name="Calculation 3 2 5" xfId="1288" xr:uid="{00000000-0005-0000-0000-000016010000}"/>
    <cellStyle name="Calculation 3 3" xfId="503" xr:uid="{00000000-0005-0000-0000-000017010000}"/>
    <cellStyle name="Calculation 3 3 2" xfId="525" xr:uid="{00000000-0005-0000-0000-000018010000}"/>
    <cellStyle name="Calculation 3 3 2 2" xfId="608" xr:uid="{00000000-0005-0000-0000-000019010000}"/>
    <cellStyle name="Calculation 3 3 2 2 2" xfId="824" xr:uid="{00000000-0005-0000-0000-00001A010000}"/>
    <cellStyle name="Calculation 3 3 2 2 2 2" xfId="1615" xr:uid="{00000000-0005-0000-0000-00001B010000}"/>
    <cellStyle name="Calculation 3 3 2 2 3" xfId="944" xr:uid="{00000000-0005-0000-0000-00001C010000}"/>
    <cellStyle name="Calculation 3 3 2 2 3 2" xfId="1735" xr:uid="{00000000-0005-0000-0000-00001D010000}"/>
    <cellStyle name="Calculation 3 3 2 2 4" xfId="722" xr:uid="{00000000-0005-0000-0000-00001E010000}"/>
    <cellStyle name="Calculation 3 3 2 2 4 2" xfId="1513" xr:uid="{00000000-0005-0000-0000-00001F010000}"/>
    <cellStyle name="Calculation 3 3 2 2 5" xfId="1088" xr:uid="{00000000-0005-0000-0000-000020010000}"/>
    <cellStyle name="Calculation 3 3 2 2 5 2" xfId="1879" xr:uid="{00000000-0005-0000-0000-000021010000}"/>
    <cellStyle name="Calculation 3 3 2 2 6" xfId="1208" xr:uid="{00000000-0005-0000-0000-000022010000}"/>
    <cellStyle name="Calculation 3 3 2 2 6 2" xfId="1999" xr:uid="{00000000-0005-0000-0000-000023010000}"/>
    <cellStyle name="Calculation 3 3 2 2 7" xfId="1399" xr:uid="{00000000-0005-0000-0000-000024010000}"/>
    <cellStyle name="Calculation 3 3 2 3" xfId="743" xr:uid="{00000000-0005-0000-0000-000025010000}"/>
    <cellStyle name="Calculation 3 3 2 3 2" xfId="1534" xr:uid="{00000000-0005-0000-0000-000026010000}"/>
    <cellStyle name="Calculation 3 3 2 4" xfId="864" xr:uid="{00000000-0005-0000-0000-000027010000}"/>
    <cellStyle name="Calculation 3 3 2 4 2" xfId="1655" xr:uid="{00000000-0005-0000-0000-000028010000}"/>
    <cellStyle name="Calculation 3 3 2 5" xfId="646" xr:uid="{00000000-0005-0000-0000-000029010000}"/>
    <cellStyle name="Calculation 3 3 2 5 2" xfId="1437" xr:uid="{00000000-0005-0000-0000-00002A010000}"/>
    <cellStyle name="Calculation 3 3 2 6" xfId="1008" xr:uid="{00000000-0005-0000-0000-00002B010000}"/>
    <cellStyle name="Calculation 3 3 2 6 2" xfId="1799" xr:uid="{00000000-0005-0000-0000-00002C010000}"/>
    <cellStyle name="Calculation 3 3 2 7" xfId="1128" xr:uid="{00000000-0005-0000-0000-00002D010000}"/>
    <cellStyle name="Calculation 3 3 2 7 2" xfId="1919" xr:uid="{00000000-0005-0000-0000-00002E010000}"/>
    <cellStyle name="Calculation 3 3 2 8" xfId="1319" xr:uid="{00000000-0005-0000-0000-00002F010000}"/>
    <cellStyle name="Calculation 3 3 3" xfId="587" xr:uid="{00000000-0005-0000-0000-000030010000}"/>
    <cellStyle name="Calculation 3 3 3 2" xfId="803" xr:uid="{00000000-0005-0000-0000-000031010000}"/>
    <cellStyle name="Calculation 3 3 3 2 2" xfId="1594" xr:uid="{00000000-0005-0000-0000-000032010000}"/>
    <cellStyle name="Calculation 3 3 3 3" xfId="923" xr:uid="{00000000-0005-0000-0000-000033010000}"/>
    <cellStyle name="Calculation 3 3 3 3 2" xfId="1714" xr:uid="{00000000-0005-0000-0000-000034010000}"/>
    <cellStyle name="Calculation 3 3 3 4" xfId="681" xr:uid="{00000000-0005-0000-0000-000035010000}"/>
    <cellStyle name="Calculation 3 3 3 4 2" xfId="1472" xr:uid="{00000000-0005-0000-0000-000036010000}"/>
    <cellStyle name="Calculation 3 3 3 5" xfId="1067" xr:uid="{00000000-0005-0000-0000-000037010000}"/>
    <cellStyle name="Calculation 3 3 3 5 2" xfId="1858" xr:uid="{00000000-0005-0000-0000-000038010000}"/>
    <cellStyle name="Calculation 3 3 3 6" xfId="1187" xr:uid="{00000000-0005-0000-0000-000039010000}"/>
    <cellStyle name="Calculation 3 3 3 6 2" xfId="1978" xr:uid="{00000000-0005-0000-0000-00003A010000}"/>
    <cellStyle name="Calculation 3 3 3 7" xfId="1378" xr:uid="{00000000-0005-0000-0000-00003B010000}"/>
    <cellStyle name="Calculation 3 3 4" xfId="1298" xr:uid="{00000000-0005-0000-0000-00003C010000}"/>
    <cellStyle name="Calculation 3 4" xfId="522" xr:uid="{00000000-0005-0000-0000-00003D010000}"/>
    <cellStyle name="Calculation 3 4 2" xfId="605" xr:uid="{00000000-0005-0000-0000-00003E010000}"/>
    <cellStyle name="Calculation 3 4 2 2" xfId="821" xr:uid="{00000000-0005-0000-0000-00003F010000}"/>
    <cellStyle name="Calculation 3 4 2 2 2" xfId="1612" xr:uid="{00000000-0005-0000-0000-000040010000}"/>
    <cellStyle name="Calculation 3 4 2 3" xfId="941" xr:uid="{00000000-0005-0000-0000-000041010000}"/>
    <cellStyle name="Calculation 3 4 2 3 2" xfId="1732" xr:uid="{00000000-0005-0000-0000-000042010000}"/>
    <cellStyle name="Calculation 3 4 2 4" xfId="731" xr:uid="{00000000-0005-0000-0000-000043010000}"/>
    <cellStyle name="Calculation 3 4 2 4 2" xfId="1522" xr:uid="{00000000-0005-0000-0000-000044010000}"/>
    <cellStyle name="Calculation 3 4 2 5" xfId="1085" xr:uid="{00000000-0005-0000-0000-000045010000}"/>
    <cellStyle name="Calculation 3 4 2 5 2" xfId="1876" xr:uid="{00000000-0005-0000-0000-000046010000}"/>
    <cellStyle name="Calculation 3 4 2 6" xfId="1205" xr:uid="{00000000-0005-0000-0000-000047010000}"/>
    <cellStyle name="Calculation 3 4 2 6 2" xfId="1996" xr:uid="{00000000-0005-0000-0000-000048010000}"/>
    <cellStyle name="Calculation 3 4 2 7" xfId="1396" xr:uid="{00000000-0005-0000-0000-000049010000}"/>
    <cellStyle name="Calculation 3 4 3" xfId="740" xr:uid="{00000000-0005-0000-0000-00004A010000}"/>
    <cellStyle name="Calculation 3 4 3 2" xfId="1531" xr:uid="{00000000-0005-0000-0000-00004B010000}"/>
    <cellStyle name="Calculation 3 4 4" xfId="861" xr:uid="{00000000-0005-0000-0000-00004C010000}"/>
    <cellStyle name="Calculation 3 4 4 2" xfId="1652" xr:uid="{00000000-0005-0000-0000-00004D010000}"/>
    <cellStyle name="Calculation 3 4 5" xfId="670" xr:uid="{00000000-0005-0000-0000-00004E010000}"/>
    <cellStyle name="Calculation 3 4 5 2" xfId="1461" xr:uid="{00000000-0005-0000-0000-00004F010000}"/>
    <cellStyle name="Calculation 3 4 6" xfId="1005" xr:uid="{00000000-0005-0000-0000-000050010000}"/>
    <cellStyle name="Calculation 3 4 6 2" xfId="1796" xr:uid="{00000000-0005-0000-0000-000051010000}"/>
    <cellStyle name="Calculation 3 4 7" xfId="1125" xr:uid="{00000000-0005-0000-0000-000052010000}"/>
    <cellStyle name="Calculation 3 4 7 2" xfId="1916" xr:uid="{00000000-0005-0000-0000-000053010000}"/>
    <cellStyle name="Calculation 3 4 8" xfId="1316" xr:uid="{00000000-0005-0000-0000-000054010000}"/>
    <cellStyle name="Calculation 3 5" xfId="567" xr:uid="{00000000-0005-0000-0000-000055010000}"/>
    <cellStyle name="Calculation 3 5 2" xfId="783" xr:uid="{00000000-0005-0000-0000-000056010000}"/>
    <cellStyle name="Calculation 3 5 2 2" xfId="1574" xr:uid="{00000000-0005-0000-0000-000057010000}"/>
    <cellStyle name="Calculation 3 5 3" xfId="903" xr:uid="{00000000-0005-0000-0000-000058010000}"/>
    <cellStyle name="Calculation 3 5 3 2" xfId="1694" xr:uid="{00000000-0005-0000-0000-000059010000}"/>
    <cellStyle name="Calculation 3 5 4" xfId="997" xr:uid="{00000000-0005-0000-0000-00005A010000}"/>
    <cellStyle name="Calculation 3 5 4 2" xfId="1788" xr:uid="{00000000-0005-0000-0000-00005B010000}"/>
    <cellStyle name="Calculation 3 5 5" xfId="1047" xr:uid="{00000000-0005-0000-0000-00005C010000}"/>
    <cellStyle name="Calculation 3 5 5 2" xfId="1838" xr:uid="{00000000-0005-0000-0000-00005D010000}"/>
    <cellStyle name="Calculation 3 5 6" xfId="1167" xr:uid="{00000000-0005-0000-0000-00005E010000}"/>
    <cellStyle name="Calculation 3 5 6 2" xfId="1958" xr:uid="{00000000-0005-0000-0000-00005F010000}"/>
    <cellStyle name="Calculation 3 5 7" xfId="1358" xr:uid="{00000000-0005-0000-0000-000060010000}"/>
    <cellStyle name="Calculation 3 6" xfId="1276" xr:uid="{00000000-0005-0000-0000-000061010000}"/>
    <cellStyle name="Check Cell 2" xfId="335" xr:uid="{00000000-0005-0000-0000-000062010000}"/>
    <cellStyle name="Check Cell 3" xfId="356" xr:uid="{00000000-0005-0000-0000-000063010000}"/>
    <cellStyle name="ColumnHeaders" xfId="308" xr:uid="{00000000-0005-0000-0000-000064010000}"/>
    <cellStyle name="ColumnHeaders 2" xfId="381" xr:uid="{00000000-0005-0000-0000-000065010000}"/>
    <cellStyle name="Comma (.00)" xfId="305" xr:uid="{00000000-0005-0000-0000-000066010000}"/>
    <cellStyle name="Comma 10" xfId="318" xr:uid="{00000000-0005-0000-0000-000067010000}"/>
    <cellStyle name="Comma 10 2" xfId="403" xr:uid="{00000000-0005-0000-0000-000068010000}"/>
    <cellStyle name="Comma 10 3" xfId="1246" xr:uid="{00000000-0005-0000-0000-000069010000}"/>
    <cellStyle name="Comma 11" xfId="314" xr:uid="{00000000-0005-0000-0000-00006A010000}"/>
    <cellStyle name="Comma 11 2" xfId="382" xr:uid="{00000000-0005-0000-0000-00006B010000}"/>
    <cellStyle name="Comma 12" xfId="411" xr:uid="{00000000-0005-0000-0000-00006C010000}"/>
    <cellStyle name="Comma 12 2" xfId="358" xr:uid="{00000000-0005-0000-0000-00006D010000}"/>
    <cellStyle name="Comma 13" xfId="336" xr:uid="{00000000-0005-0000-0000-00006E010000}"/>
    <cellStyle name="Comma 14" xfId="404" xr:uid="{00000000-0005-0000-0000-00006F010000}"/>
    <cellStyle name="Comma 15" xfId="383" xr:uid="{00000000-0005-0000-0000-000070010000}"/>
    <cellStyle name="Comma 16" xfId="357" xr:uid="{00000000-0005-0000-0000-000071010000}"/>
    <cellStyle name="Comma 17" xfId="416" xr:uid="{00000000-0005-0000-0000-000072010000}"/>
    <cellStyle name="Comma 18" xfId="415" xr:uid="{00000000-0005-0000-0000-000073010000}"/>
    <cellStyle name="Comma 19" xfId="435" xr:uid="{00000000-0005-0000-0000-000074010000}"/>
    <cellStyle name="Comma 2" xfId="6" xr:uid="{00000000-0005-0000-0000-000075010000}"/>
    <cellStyle name="Comma 2 2" xfId="302" xr:uid="{00000000-0005-0000-0000-000076010000}"/>
    <cellStyle name="Comma 20" xfId="433" xr:uid="{00000000-0005-0000-0000-000077010000}"/>
    <cellStyle name="Comma 21" xfId="434" xr:uid="{00000000-0005-0000-0000-000078010000}"/>
    <cellStyle name="Comma 22" xfId="432" xr:uid="{00000000-0005-0000-0000-000079010000}"/>
    <cellStyle name="Comma 23" xfId="436" xr:uid="{00000000-0005-0000-0000-00007A010000}"/>
    <cellStyle name="Comma 24" xfId="431" xr:uid="{00000000-0005-0000-0000-00007B010000}"/>
    <cellStyle name="Comma 25" xfId="437" xr:uid="{00000000-0005-0000-0000-00007C010000}"/>
    <cellStyle name="Comma 26" xfId="430" xr:uid="{00000000-0005-0000-0000-00007D010000}"/>
    <cellStyle name="Comma 27" xfId="438" xr:uid="{00000000-0005-0000-0000-00007E010000}"/>
    <cellStyle name="Comma 28" xfId="429" xr:uid="{00000000-0005-0000-0000-00007F010000}"/>
    <cellStyle name="Comma 29" xfId="439" xr:uid="{00000000-0005-0000-0000-000080010000}"/>
    <cellStyle name="Comma 3" xfId="304" xr:uid="{00000000-0005-0000-0000-000081010000}"/>
    <cellStyle name="Comma 30" xfId="428" xr:uid="{00000000-0005-0000-0000-000082010000}"/>
    <cellStyle name="Comma 31" xfId="440" xr:uid="{00000000-0005-0000-0000-000083010000}"/>
    <cellStyle name="Comma 32" xfId="427" xr:uid="{00000000-0005-0000-0000-000084010000}"/>
    <cellStyle name="Comma 33" xfId="442" xr:uid="{00000000-0005-0000-0000-000085010000}"/>
    <cellStyle name="Comma 33 2" xfId="1251" xr:uid="{00000000-0005-0000-0000-000086010000}"/>
    <cellStyle name="Comma 34" xfId="475" xr:uid="{00000000-0005-0000-0000-000087010000}"/>
    <cellStyle name="Comma 34 2" xfId="1254" xr:uid="{00000000-0005-0000-0000-000088010000}"/>
    <cellStyle name="Comma 35" xfId="426" xr:uid="{00000000-0005-0000-0000-000089010000}"/>
    <cellStyle name="Comma 36" xfId="470" xr:uid="{00000000-0005-0000-0000-00008A010000}"/>
    <cellStyle name="Comma 37" xfId="468" xr:uid="{00000000-0005-0000-0000-00008B010000}"/>
    <cellStyle name="Comma 38" xfId="469" xr:uid="{00000000-0005-0000-0000-00008C010000}"/>
    <cellStyle name="Comma 39" xfId="465" xr:uid="{00000000-0005-0000-0000-00008D010000}"/>
    <cellStyle name="Comma 4" xfId="310" xr:uid="{00000000-0005-0000-0000-00008E010000}"/>
    <cellStyle name="Comma 40" xfId="473" xr:uid="{00000000-0005-0000-0000-00008F010000}"/>
    <cellStyle name="Comma 41" xfId="466" xr:uid="{00000000-0005-0000-0000-000090010000}"/>
    <cellStyle name="Comma 42" xfId="453" xr:uid="{00000000-0005-0000-0000-000091010000}"/>
    <cellStyle name="Comma 43" xfId="452" xr:uid="{00000000-0005-0000-0000-000092010000}"/>
    <cellStyle name="Comma 44" xfId="471" xr:uid="{00000000-0005-0000-0000-000093010000}"/>
    <cellStyle name="Comma 45" xfId="474" xr:uid="{00000000-0005-0000-0000-000094010000}"/>
    <cellStyle name="Comma 46" xfId="459" xr:uid="{00000000-0005-0000-0000-000095010000}"/>
    <cellStyle name="Comma 47" xfId="467" xr:uid="{00000000-0005-0000-0000-000096010000}"/>
    <cellStyle name="Comma 48" xfId="456" xr:uid="{00000000-0005-0000-0000-000097010000}"/>
    <cellStyle name="Comma 49" xfId="460" xr:uid="{00000000-0005-0000-0000-000098010000}"/>
    <cellStyle name="Comma 5" xfId="309" xr:uid="{00000000-0005-0000-0000-000099010000}"/>
    <cellStyle name="Comma 50" xfId="462" xr:uid="{00000000-0005-0000-0000-00009A010000}"/>
    <cellStyle name="Comma 51" xfId="488" xr:uid="{00000000-0005-0000-0000-00009B010000}"/>
    <cellStyle name="Comma 52" xfId="487" xr:uid="{00000000-0005-0000-0000-00009C010000}"/>
    <cellStyle name="Comma 53" xfId="491" xr:uid="{00000000-0005-0000-0000-00009D010000}"/>
    <cellStyle name="Comma 53 2" xfId="1257" xr:uid="{00000000-0005-0000-0000-00009E010000}"/>
    <cellStyle name="Comma 54" xfId="494" xr:uid="{00000000-0005-0000-0000-00009F010000}"/>
    <cellStyle name="Comma 54 2" xfId="1260" xr:uid="{00000000-0005-0000-0000-0000A0010000}"/>
    <cellStyle name="Comma 55" xfId="506" xr:uid="{00000000-0005-0000-0000-0000A1010000}"/>
    <cellStyle name="Comma 55 2" xfId="1263" xr:uid="{00000000-0005-0000-0000-0000A2010000}"/>
    <cellStyle name="Comma 56" xfId="489" xr:uid="{00000000-0005-0000-0000-0000A3010000}"/>
    <cellStyle name="Comma 57" xfId="1264" xr:uid="{00000000-0005-0000-0000-0000A4010000}"/>
    <cellStyle name="Comma 58" xfId="1279" xr:uid="{00000000-0005-0000-0000-0000A5010000}"/>
    <cellStyle name="Comma 59" xfId="1281" xr:uid="{00000000-0005-0000-0000-0000A6010000}"/>
    <cellStyle name="Comma 6" xfId="311" xr:uid="{00000000-0005-0000-0000-0000A7010000}"/>
    <cellStyle name="Comma 7" xfId="312" xr:uid="{00000000-0005-0000-0000-0000A8010000}"/>
    <cellStyle name="Comma 8" xfId="313" xr:uid="{00000000-0005-0000-0000-0000A9010000}"/>
    <cellStyle name="Comma 9" xfId="315" xr:uid="{00000000-0005-0000-0000-0000AA010000}"/>
    <cellStyle name="Comma 9 2" xfId="384" xr:uid="{00000000-0005-0000-0000-0000AB010000}"/>
    <cellStyle name="Currency" xfId="1" builtinId="4"/>
    <cellStyle name="Currency (.00)" xfId="306" xr:uid="{00000000-0005-0000-0000-0000AD010000}"/>
    <cellStyle name="Currency 10" xfId="424" xr:uid="{00000000-0005-0000-0000-0000AE010000}"/>
    <cellStyle name="Currency 11" xfId="447" xr:uid="{00000000-0005-0000-0000-0000AF010000}"/>
    <cellStyle name="Currency 12" xfId="423" xr:uid="{00000000-0005-0000-0000-0000B0010000}"/>
    <cellStyle name="Currency 13" xfId="448" xr:uid="{00000000-0005-0000-0000-0000B1010000}"/>
    <cellStyle name="Currency 14" xfId="422" xr:uid="{00000000-0005-0000-0000-0000B2010000}"/>
    <cellStyle name="Currency 15" xfId="449" xr:uid="{00000000-0005-0000-0000-0000B3010000}"/>
    <cellStyle name="Currency 16" xfId="421" xr:uid="{00000000-0005-0000-0000-0000B4010000}"/>
    <cellStyle name="Currency 17" xfId="450" xr:uid="{00000000-0005-0000-0000-0000B5010000}"/>
    <cellStyle name="Currency 18" xfId="420" xr:uid="{00000000-0005-0000-0000-0000B6010000}"/>
    <cellStyle name="Currency 19" xfId="451" xr:uid="{00000000-0005-0000-0000-0000B7010000}"/>
    <cellStyle name="Currency 2" xfId="155" xr:uid="{00000000-0005-0000-0000-0000B8010000}"/>
    <cellStyle name="Currency 20" xfId="419" xr:uid="{00000000-0005-0000-0000-0000B9010000}"/>
    <cellStyle name="Currency 21" xfId="443" xr:uid="{00000000-0005-0000-0000-0000BA010000}"/>
    <cellStyle name="Currency 21 2" xfId="1252" xr:uid="{00000000-0005-0000-0000-0000BB010000}"/>
    <cellStyle name="Currency 22" xfId="476" xr:uid="{00000000-0005-0000-0000-0000BC010000}"/>
    <cellStyle name="Currency 22 2" xfId="1255" xr:uid="{00000000-0005-0000-0000-0000BD010000}"/>
    <cellStyle name="Currency 23" xfId="418" xr:uid="{00000000-0005-0000-0000-0000BE010000}"/>
    <cellStyle name="Currency 24" xfId="464" xr:uid="{00000000-0005-0000-0000-0000BF010000}"/>
    <cellStyle name="Currency 25" xfId="458" xr:uid="{00000000-0005-0000-0000-0000C0010000}"/>
    <cellStyle name="Currency 26" xfId="463" xr:uid="{00000000-0005-0000-0000-0000C1010000}"/>
    <cellStyle name="Currency 27" xfId="457" xr:uid="{00000000-0005-0000-0000-0000C2010000}"/>
    <cellStyle name="Currency 28" xfId="455" xr:uid="{00000000-0005-0000-0000-0000C3010000}"/>
    <cellStyle name="Currency 29" xfId="472" xr:uid="{00000000-0005-0000-0000-0000C4010000}"/>
    <cellStyle name="Currency 3" xfId="319" xr:uid="{00000000-0005-0000-0000-0000C5010000}"/>
    <cellStyle name="Currency 3 2" xfId="385" xr:uid="{00000000-0005-0000-0000-0000C6010000}"/>
    <cellStyle name="Currency 3 3" xfId="1247" xr:uid="{00000000-0005-0000-0000-0000C7010000}"/>
    <cellStyle name="Currency 30" xfId="461" xr:uid="{00000000-0005-0000-0000-0000C8010000}"/>
    <cellStyle name="Currency 31" xfId="454" xr:uid="{00000000-0005-0000-0000-0000C9010000}"/>
    <cellStyle name="Currency 32" xfId="492" xr:uid="{00000000-0005-0000-0000-0000CA010000}"/>
    <cellStyle name="Currency 32 2" xfId="1258" xr:uid="{00000000-0005-0000-0000-0000CB010000}"/>
    <cellStyle name="Currency 33" xfId="495" xr:uid="{00000000-0005-0000-0000-0000CC010000}"/>
    <cellStyle name="Currency 33 2" xfId="1261" xr:uid="{00000000-0005-0000-0000-0000CD010000}"/>
    <cellStyle name="Currency 34" xfId="501" xr:uid="{00000000-0005-0000-0000-0000CE010000}"/>
    <cellStyle name="Currency 34 2" xfId="1262" xr:uid="{00000000-0005-0000-0000-0000CF010000}"/>
    <cellStyle name="Currency 35" xfId="559" xr:uid="{00000000-0005-0000-0000-0000D0010000}"/>
    <cellStyle name="Currency 36" xfId="1243" xr:uid="{00000000-0005-0000-0000-0000D1010000}"/>
    <cellStyle name="Currency 37" xfId="1249" xr:uid="{00000000-0005-0000-0000-0000D2010000}"/>
    <cellStyle name="Currency 38" xfId="1267" xr:uid="{00000000-0005-0000-0000-0000D3010000}"/>
    <cellStyle name="Currency 39" xfId="2032" xr:uid="{00000000-0005-0000-0000-0000D4010000}"/>
    <cellStyle name="Currency 4" xfId="359" xr:uid="{00000000-0005-0000-0000-0000D5010000}"/>
    <cellStyle name="Currency 5" xfId="417" xr:uid="{00000000-0005-0000-0000-0000D6010000}"/>
    <cellStyle name="Currency 6" xfId="414" xr:uid="{00000000-0005-0000-0000-0000D7010000}"/>
    <cellStyle name="Currency 7" xfId="445" xr:uid="{00000000-0005-0000-0000-0000D8010000}"/>
    <cellStyle name="Currency 8" xfId="425" xr:uid="{00000000-0005-0000-0000-0000D9010000}"/>
    <cellStyle name="Currency 9" xfId="446" xr:uid="{00000000-0005-0000-0000-0000DA010000}"/>
    <cellStyle name="Explanatory Text 2" xfId="337" xr:uid="{00000000-0005-0000-0000-0000DB010000}"/>
    <cellStyle name="Explanatory Text 3" xfId="360" xr:uid="{00000000-0005-0000-0000-0000DC010000}"/>
    <cellStyle name="Good 2" xfId="386" xr:uid="{00000000-0005-0000-0000-0000DD010000}"/>
    <cellStyle name="Good 3" xfId="405" xr:uid="{00000000-0005-0000-0000-0000DE010000}"/>
    <cellStyle name="Heading 1 2" xfId="338" xr:uid="{00000000-0005-0000-0000-0000DF010000}"/>
    <cellStyle name="Heading 1 3" xfId="361" xr:uid="{00000000-0005-0000-0000-0000E0010000}"/>
    <cellStyle name="Heading 2 2" xfId="387" xr:uid="{00000000-0005-0000-0000-0000E1010000}"/>
    <cellStyle name="Heading 2 3" xfId="406" xr:uid="{00000000-0005-0000-0000-0000E2010000}"/>
    <cellStyle name="Heading 3 2" xfId="339" xr:uid="{00000000-0005-0000-0000-0000E3010000}"/>
    <cellStyle name="Heading 3 3" xfId="362" xr:uid="{00000000-0005-0000-0000-0000E4010000}"/>
    <cellStyle name="Heading 4 2" xfId="388" xr:uid="{00000000-0005-0000-0000-0000E5010000}"/>
    <cellStyle name="Heading 4 3" xfId="407" xr:uid="{00000000-0005-0000-0000-0000E6010000}"/>
    <cellStyle name="Hyperlink" xfId="1241" builtinId="8"/>
    <cellStyle name="Hyperlink 2" xfId="7" xr:uid="{00000000-0005-0000-0000-0000E8010000}"/>
    <cellStyle name="Hyperlink 3" xfId="8" xr:uid="{00000000-0005-0000-0000-0000E9010000}"/>
    <cellStyle name="Input 2" xfId="340" xr:uid="{00000000-0005-0000-0000-0000EA010000}"/>
    <cellStyle name="Input 2 2" xfId="478" xr:uid="{00000000-0005-0000-0000-0000EB010000}"/>
    <cellStyle name="Input 2 2 2" xfId="509" xr:uid="{00000000-0005-0000-0000-0000EC010000}"/>
    <cellStyle name="Input 2 2 2 2" xfId="528" xr:uid="{00000000-0005-0000-0000-0000ED010000}"/>
    <cellStyle name="Input 2 2 2 2 2" xfId="611" xr:uid="{00000000-0005-0000-0000-0000EE010000}"/>
    <cellStyle name="Input 2 2 2 2 2 2" xfId="827" xr:uid="{00000000-0005-0000-0000-0000EF010000}"/>
    <cellStyle name="Input 2 2 2 2 2 2 2" xfId="1618" xr:uid="{00000000-0005-0000-0000-0000F0010000}"/>
    <cellStyle name="Input 2 2 2 2 2 3" xfId="947" xr:uid="{00000000-0005-0000-0000-0000F1010000}"/>
    <cellStyle name="Input 2 2 2 2 2 3 2" xfId="1738" xr:uid="{00000000-0005-0000-0000-0000F2010000}"/>
    <cellStyle name="Input 2 2 2 2 2 4" xfId="666" xr:uid="{00000000-0005-0000-0000-0000F3010000}"/>
    <cellStyle name="Input 2 2 2 2 2 4 2" xfId="1457" xr:uid="{00000000-0005-0000-0000-0000F4010000}"/>
    <cellStyle name="Input 2 2 2 2 2 5" xfId="1091" xr:uid="{00000000-0005-0000-0000-0000F5010000}"/>
    <cellStyle name="Input 2 2 2 2 2 5 2" xfId="1882" xr:uid="{00000000-0005-0000-0000-0000F6010000}"/>
    <cellStyle name="Input 2 2 2 2 2 6" xfId="1211" xr:uid="{00000000-0005-0000-0000-0000F7010000}"/>
    <cellStyle name="Input 2 2 2 2 2 6 2" xfId="2002" xr:uid="{00000000-0005-0000-0000-0000F8010000}"/>
    <cellStyle name="Input 2 2 2 2 2 7" xfId="1402" xr:uid="{00000000-0005-0000-0000-0000F9010000}"/>
    <cellStyle name="Input 2 2 2 2 3" xfId="746" xr:uid="{00000000-0005-0000-0000-0000FA010000}"/>
    <cellStyle name="Input 2 2 2 2 3 2" xfId="1537" xr:uid="{00000000-0005-0000-0000-0000FB010000}"/>
    <cellStyle name="Input 2 2 2 2 4" xfId="867" xr:uid="{00000000-0005-0000-0000-0000FC010000}"/>
    <cellStyle name="Input 2 2 2 2 4 2" xfId="1658" xr:uid="{00000000-0005-0000-0000-0000FD010000}"/>
    <cellStyle name="Input 2 2 2 2 5" xfId="712" xr:uid="{00000000-0005-0000-0000-0000FE010000}"/>
    <cellStyle name="Input 2 2 2 2 5 2" xfId="1503" xr:uid="{00000000-0005-0000-0000-0000FF010000}"/>
    <cellStyle name="Input 2 2 2 2 6" xfId="1011" xr:uid="{00000000-0005-0000-0000-000000020000}"/>
    <cellStyle name="Input 2 2 2 2 6 2" xfId="1802" xr:uid="{00000000-0005-0000-0000-000001020000}"/>
    <cellStyle name="Input 2 2 2 2 7" xfId="1131" xr:uid="{00000000-0005-0000-0000-000002020000}"/>
    <cellStyle name="Input 2 2 2 2 7 2" xfId="1922" xr:uid="{00000000-0005-0000-0000-000003020000}"/>
    <cellStyle name="Input 2 2 2 2 8" xfId="1322" xr:uid="{00000000-0005-0000-0000-000004020000}"/>
    <cellStyle name="Input 2 2 2 3" xfId="592" xr:uid="{00000000-0005-0000-0000-000005020000}"/>
    <cellStyle name="Input 2 2 2 3 2" xfId="808" xr:uid="{00000000-0005-0000-0000-000006020000}"/>
    <cellStyle name="Input 2 2 2 3 2 2" xfId="1599" xr:uid="{00000000-0005-0000-0000-000007020000}"/>
    <cellStyle name="Input 2 2 2 3 3" xfId="928" xr:uid="{00000000-0005-0000-0000-000008020000}"/>
    <cellStyle name="Input 2 2 2 3 3 2" xfId="1719" xr:uid="{00000000-0005-0000-0000-000009020000}"/>
    <cellStyle name="Input 2 2 2 3 4" xfId="728" xr:uid="{00000000-0005-0000-0000-00000A020000}"/>
    <cellStyle name="Input 2 2 2 3 4 2" xfId="1519" xr:uid="{00000000-0005-0000-0000-00000B020000}"/>
    <cellStyle name="Input 2 2 2 3 5" xfId="1072" xr:uid="{00000000-0005-0000-0000-00000C020000}"/>
    <cellStyle name="Input 2 2 2 3 5 2" xfId="1863" xr:uid="{00000000-0005-0000-0000-00000D020000}"/>
    <cellStyle name="Input 2 2 2 3 6" xfId="1192" xr:uid="{00000000-0005-0000-0000-00000E020000}"/>
    <cellStyle name="Input 2 2 2 3 6 2" xfId="1983" xr:uid="{00000000-0005-0000-0000-00000F020000}"/>
    <cellStyle name="Input 2 2 2 3 7" xfId="1383" xr:uid="{00000000-0005-0000-0000-000010020000}"/>
    <cellStyle name="Input 2 2 2 4" xfId="1303" xr:uid="{00000000-0005-0000-0000-000011020000}"/>
    <cellStyle name="Input 2 2 3" xfId="527" xr:uid="{00000000-0005-0000-0000-000012020000}"/>
    <cellStyle name="Input 2 2 3 2" xfId="610" xr:uid="{00000000-0005-0000-0000-000013020000}"/>
    <cellStyle name="Input 2 2 3 2 2" xfId="826" xr:uid="{00000000-0005-0000-0000-000014020000}"/>
    <cellStyle name="Input 2 2 3 2 2 2" xfId="1617" xr:uid="{00000000-0005-0000-0000-000015020000}"/>
    <cellStyle name="Input 2 2 3 2 3" xfId="946" xr:uid="{00000000-0005-0000-0000-000016020000}"/>
    <cellStyle name="Input 2 2 3 2 3 2" xfId="1737" xr:uid="{00000000-0005-0000-0000-000017020000}"/>
    <cellStyle name="Input 2 2 3 2 4" xfId="658" xr:uid="{00000000-0005-0000-0000-000018020000}"/>
    <cellStyle name="Input 2 2 3 2 4 2" xfId="1449" xr:uid="{00000000-0005-0000-0000-000019020000}"/>
    <cellStyle name="Input 2 2 3 2 5" xfId="1090" xr:uid="{00000000-0005-0000-0000-00001A020000}"/>
    <cellStyle name="Input 2 2 3 2 5 2" xfId="1881" xr:uid="{00000000-0005-0000-0000-00001B020000}"/>
    <cellStyle name="Input 2 2 3 2 6" xfId="1210" xr:uid="{00000000-0005-0000-0000-00001C020000}"/>
    <cellStyle name="Input 2 2 3 2 6 2" xfId="2001" xr:uid="{00000000-0005-0000-0000-00001D020000}"/>
    <cellStyle name="Input 2 2 3 2 7" xfId="1401" xr:uid="{00000000-0005-0000-0000-00001E020000}"/>
    <cellStyle name="Input 2 2 3 3" xfId="745" xr:uid="{00000000-0005-0000-0000-00001F020000}"/>
    <cellStyle name="Input 2 2 3 3 2" xfId="1536" xr:uid="{00000000-0005-0000-0000-000020020000}"/>
    <cellStyle name="Input 2 2 3 4" xfId="866" xr:uid="{00000000-0005-0000-0000-000021020000}"/>
    <cellStyle name="Input 2 2 3 4 2" xfId="1657" xr:uid="{00000000-0005-0000-0000-000022020000}"/>
    <cellStyle name="Input 2 2 3 5" xfId="662" xr:uid="{00000000-0005-0000-0000-000023020000}"/>
    <cellStyle name="Input 2 2 3 5 2" xfId="1453" xr:uid="{00000000-0005-0000-0000-000024020000}"/>
    <cellStyle name="Input 2 2 3 6" xfId="1010" xr:uid="{00000000-0005-0000-0000-000025020000}"/>
    <cellStyle name="Input 2 2 3 6 2" xfId="1801" xr:uid="{00000000-0005-0000-0000-000026020000}"/>
    <cellStyle name="Input 2 2 3 7" xfId="1130" xr:uid="{00000000-0005-0000-0000-000027020000}"/>
    <cellStyle name="Input 2 2 3 7 2" xfId="1921" xr:uid="{00000000-0005-0000-0000-000028020000}"/>
    <cellStyle name="Input 2 2 3 8" xfId="1321" xr:uid="{00000000-0005-0000-0000-000029020000}"/>
    <cellStyle name="Input 2 2 4" xfId="572" xr:uid="{00000000-0005-0000-0000-00002A020000}"/>
    <cellStyle name="Input 2 2 4 2" xfId="788" xr:uid="{00000000-0005-0000-0000-00002B020000}"/>
    <cellStyle name="Input 2 2 4 2 2" xfId="1579" xr:uid="{00000000-0005-0000-0000-00002C020000}"/>
    <cellStyle name="Input 2 2 4 3" xfId="908" xr:uid="{00000000-0005-0000-0000-00002D020000}"/>
    <cellStyle name="Input 2 2 4 3 2" xfId="1699" xr:uid="{00000000-0005-0000-0000-00002E020000}"/>
    <cellStyle name="Input 2 2 4 4" xfId="985" xr:uid="{00000000-0005-0000-0000-00002F020000}"/>
    <cellStyle name="Input 2 2 4 4 2" xfId="1776" xr:uid="{00000000-0005-0000-0000-000030020000}"/>
    <cellStyle name="Input 2 2 4 5" xfId="1052" xr:uid="{00000000-0005-0000-0000-000031020000}"/>
    <cellStyle name="Input 2 2 4 5 2" xfId="1843" xr:uid="{00000000-0005-0000-0000-000032020000}"/>
    <cellStyle name="Input 2 2 4 6" xfId="1172" xr:uid="{00000000-0005-0000-0000-000033020000}"/>
    <cellStyle name="Input 2 2 4 6 2" xfId="1963" xr:uid="{00000000-0005-0000-0000-000034020000}"/>
    <cellStyle name="Input 2 2 4 7" xfId="1363" xr:uid="{00000000-0005-0000-0000-000035020000}"/>
    <cellStyle name="Input 2 2 5" xfId="1283" xr:uid="{00000000-0005-0000-0000-000036020000}"/>
    <cellStyle name="Input 2 3" xfId="497" xr:uid="{00000000-0005-0000-0000-000037020000}"/>
    <cellStyle name="Input 2 3 2" xfId="529" xr:uid="{00000000-0005-0000-0000-000038020000}"/>
    <cellStyle name="Input 2 3 2 2" xfId="612" xr:uid="{00000000-0005-0000-0000-000039020000}"/>
    <cellStyle name="Input 2 3 2 2 2" xfId="828" xr:uid="{00000000-0005-0000-0000-00003A020000}"/>
    <cellStyle name="Input 2 3 2 2 2 2" xfId="1619" xr:uid="{00000000-0005-0000-0000-00003B020000}"/>
    <cellStyle name="Input 2 3 2 2 3" xfId="948" xr:uid="{00000000-0005-0000-0000-00003C020000}"/>
    <cellStyle name="Input 2 3 2 2 3 2" xfId="1739" xr:uid="{00000000-0005-0000-0000-00003D020000}"/>
    <cellStyle name="Input 2 3 2 2 4" xfId="687" xr:uid="{00000000-0005-0000-0000-00003E020000}"/>
    <cellStyle name="Input 2 3 2 2 4 2" xfId="1478" xr:uid="{00000000-0005-0000-0000-00003F020000}"/>
    <cellStyle name="Input 2 3 2 2 5" xfId="1092" xr:uid="{00000000-0005-0000-0000-000040020000}"/>
    <cellStyle name="Input 2 3 2 2 5 2" xfId="1883" xr:uid="{00000000-0005-0000-0000-000041020000}"/>
    <cellStyle name="Input 2 3 2 2 6" xfId="1212" xr:uid="{00000000-0005-0000-0000-000042020000}"/>
    <cellStyle name="Input 2 3 2 2 6 2" xfId="2003" xr:uid="{00000000-0005-0000-0000-000043020000}"/>
    <cellStyle name="Input 2 3 2 2 7" xfId="1403" xr:uid="{00000000-0005-0000-0000-000044020000}"/>
    <cellStyle name="Input 2 3 2 3" xfId="747" xr:uid="{00000000-0005-0000-0000-000045020000}"/>
    <cellStyle name="Input 2 3 2 3 2" xfId="1538" xr:uid="{00000000-0005-0000-0000-000046020000}"/>
    <cellStyle name="Input 2 3 2 4" xfId="868" xr:uid="{00000000-0005-0000-0000-000047020000}"/>
    <cellStyle name="Input 2 3 2 4 2" xfId="1659" xr:uid="{00000000-0005-0000-0000-000048020000}"/>
    <cellStyle name="Input 2 3 2 5" xfId="709" xr:uid="{00000000-0005-0000-0000-000049020000}"/>
    <cellStyle name="Input 2 3 2 5 2" xfId="1500" xr:uid="{00000000-0005-0000-0000-00004A020000}"/>
    <cellStyle name="Input 2 3 2 6" xfId="1012" xr:uid="{00000000-0005-0000-0000-00004B020000}"/>
    <cellStyle name="Input 2 3 2 6 2" xfId="1803" xr:uid="{00000000-0005-0000-0000-00004C020000}"/>
    <cellStyle name="Input 2 3 2 7" xfId="1132" xr:uid="{00000000-0005-0000-0000-00004D020000}"/>
    <cellStyle name="Input 2 3 2 7 2" xfId="1923" xr:uid="{00000000-0005-0000-0000-00004E020000}"/>
    <cellStyle name="Input 2 3 2 8" xfId="1323" xr:uid="{00000000-0005-0000-0000-00004F020000}"/>
    <cellStyle name="Input 2 3 3" xfId="582" xr:uid="{00000000-0005-0000-0000-000050020000}"/>
    <cellStyle name="Input 2 3 3 2" xfId="798" xr:uid="{00000000-0005-0000-0000-000051020000}"/>
    <cellStyle name="Input 2 3 3 2 2" xfId="1589" xr:uid="{00000000-0005-0000-0000-000052020000}"/>
    <cellStyle name="Input 2 3 3 3" xfId="918" xr:uid="{00000000-0005-0000-0000-000053020000}"/>
    <cellStyle name="Input 2 3 3 3 2" xfId="1709" xr:uid="{00000000-0005-0000-0000-000054020000}"/>
    <cellStyle name="Input 2 3 3 4" xfId="990" xr:uid="{00000000-0005-0000-0000-000055020000}"/>
    <cellStyle name="Input 2 3 3 4 2" xfId="1781" xr:uid="{00000000-0005-0000-0000-000056020000}"/>
    <cellStyle name="Input 2 3 3 5" xfId="1062" xr:uid="{00000000-0005-0000-0000-000057020000}"/>
    <cellStyle name="Input 2 3 3 5 2" xfId="1853" xr:uid="{00000000-0005-0000-0000-000058020000}"/>
    <cellStyle name="Input 2 3 3 6" xfId="1182" xr:uid="{00000000-0005-0000-0000-000059020000}"/>
    <cellStyle name="Input 2 3 3 6 2" xfId="1973" xr:uid="{00000000-0005-0000-0000-00005A020000}"/>
    <cellStyle name="Input 2 3 3 7" xfId="1373" xr:uid="{00000000-0005-0000-0000-00005B020000}"/>
    <cellStyle name="Input 2 3 4" xfId="1293" xr:uid="{00000000-0005-0000-0000-00005C020000}"/>
    <cellStyle name="Input 2 4" xfId="526" xr:uid="{00000000-0005-0000-0000-00005D020000}"/>
    <cellStyle name="Input 2 4 2" xfId="609" xr:uid="{00000000-0005-0000-0000-00005E020000}"/>
    <cellStyle name="Input 2 4 2 2" xfId="825" xr:uid="{00000000-0005-0000-0000-00005F020000}"/>
    <cellStyle name="Input 2 4 2 2 2" xfId="1616" xr:uid="{00000000-0005-0000-0000-000060020000}"/>
    <cellStyle name="Input 2 4 2 3" xfId="945" xr:uid="{00000000-0005-0000-0000-000061020000}"/>
    <cellStyle name="Input 2 4 2 3 2" xfId="1736" xr:uid="{00000000-0005-0000-0000-000062020000}"/>
    <cellStyle name="Input 2 4 2 4" xfId="686" xr:uid="{00000000-0005-0000-0000-000063020000}"/>
    <cellStyle name="Input 2 4 2 4 2" xfId="1477" xr:uid="{00000000-0005-0000-0000-000064020000}"/>
    <cellStyle name="Input 2 4 2 5" xfId="1089" xr:uid="{00000000-0005-0000-0000-000065020000}"/>
    <cellStyle name="Input 2 4 2 5 2" xfId="1880" xr:uid="{00000000-0005-0000-0000-000066020000}"/>
    <cellStyle name="Input 2 4 2 6" xfId="1209" xr:uid="{00000000-0005-0000-0000-000067020000}"/>
    <cellStyle name="Input 2 4 2 6 2" xfId="2000" xr:uid="{00000000-0005-0000-0000-000068020000}"/>
    <cellStyle name="Input 2 4 2 7" xfId="1400" xr:uid="{00000000-0005-0000-0000-000069020000}"/>
    <cellStyle name="Input 2 4 3" xfId="744" xr:uid="{00000000-0005-0000-0000-00006A020000}"/>
    <cellStyle name="Input 2 4 3 2" xfId="1535" xr:uid="{00000000-0005-0000-0000-00006B020000}"/>
    <cellStyle name="Input 2 4 4" xfId="865" xr:uid="{00000000-0005-0000-0000-00006C020000}"/>
    <cellStyle name="Input 2 4 4 2" xfId="1656" xr:uid="{00000000-0005-0000-0000-00006D020000}"/>
    <cellStyle name="Input 2 4 5" xfId="706" xr:uid="{00000000-0005-0000-0000-00006E020000}"/>
    <cellStyle name="Input 2 4 5 2" xfId="1497" xr:uid="{00000000-0005-0000-0000-00006F020000}"/>
    <cellStyle name="Input 2 4 6" xfId="1009" xr:uid="{00000000-0005-0000-0000-000070020000}"/>
    <cellStyle name="Input 2 4 6 2" xfId="1800" xr:uid="{00000000-0005-0000-0000-000071020000}"/>
    <cellStyle name="Input 2 4 7" xfId="1129" xr:uid="{00000000-0005-0000-0000-000072020000}"/>
    <cellStyle name="Input 2 4 7 2" xfId="1920" xr:uid="{00000000-0005-0000-0000-000073020000}"/>
    <cellStyle name="Input 2 4 8" xfId="1320" xr:uid="{00000000-0005-0000-0000-000074020000}"/>
    <cellStyle name="Input 2 5" xfId="562" xr:uid="{00000000-0005-0000-0000-000075020000}"/>
    <cellStyle name="Input 2 5 2" xfId="778" xr:uid="{00000000-0005-0000-0000-000076020000}"/>
    <cellStyle name="Input 2 5 2 2" xfId="1569" xr:uid="{00000000-0005-0000-0000-000077020000}"/>
    <cellStyle name="Input 2 5 3" xfId="898" xr:uid="{00000000-0005-0000-0000-000078020000}"/>
    <cellStyle name="Input 2 5 3 2" xfId="1689" xr:uid="{00000000-0005-0000-0000-000079020000}"/>
    <cellStyle name="Input 2 5 4" xfId="642" xr:uid="{00000000-0005-0000-0000-00007A020000}"/>
    <cellStyle name="Input 2 5 4 2" xfId="1433" xr:uid="{00000000-0005-0000-0000-00007B020000}"/>
    <cellStyle name="Input 2 5 5" xfId="1042" xr:uid="{00000000-0005-0000-0000-00007C020000}"/>
    <cellStyle name="Input 2 5 5 2" xfId="1833" xr:uid="{00000000-0005-0000-0000-00007D020000}"/>
    <cellStyle name="Input 2 5 6" xfId="1162" xr:uid="{00000000-0005-0000-0000-00007E020000}"/>
    <cellStyle name="Input 2 5 6 2" xfId="1953" xr:uid="{00000000-0005-0000-0000-00007F020000}"/>
    <cellStyle name="Input 2 5 7" xfId="1353" xr:uid="{00000000-0005-0000-0000-000080020000}"/>
    <cellStyle name="Input 2 6" xfId="1271" xr:uid="{00000000-0005-0000-0000-000081020000}"/>
    <cellStyle name="Input 3" xfId="363" xr:uid="{00000000-0005-0000-0000-000082020000}"/>
    <cellStyle name="Input 3 2" xfId="480" xr:uid="{00000000-0005-0000-0000-000083020000}"/>
    <cellStyle name="Input 3 2 2" xfId="511" xr:uid="{00000000-0005-0000-0000-000084020000}"/>
    <cellStyle name="Input 3 2 2 2" xfId="532" xr:uid="{00000000-0005-0000-0000-000085020000}"/>
    <cellStyle name="Input 3 2 2 2 2" xfId="615" xr:uid="{00000000-0005-0000-0000-000086020000}"/>
    <cellStyle name="Input 3 2 2 2 2 2" xfId="831" xr:uid="{00000000-0005-0000-0000-000087020000}"/>
    <cellStyle name="Input 3 2 2 2 2 2 2" xfId="1622" xr:uid="{00000000-0005-0000-0000-000088020000}"/>
    <cellStyle name="Input 3 2 2 2 2 3" xfId="951" xr:uid="{00000000-0005-0000-0000-000089020000}"/>
    <cellStyle name="Input 3 2 2 2 2 3 2" xfId="1742" xr:uid="{00000000-0005-0000-0000-00008A020000}"/>
    <cellStyle name="Input 3 2 2 2 2 4" xfId="669" xr:uid="{00000000-0005-0000-0000-00008B020000}"/>
    <cellStyle name="Input 3 2 2 2 2 4 2" xfId="1460" xr:uid="{00000000-0005-0000-0000-00008C020000}"/>
    <cellStyle name="Input 3 2 2 2 2 5" xfId="1095" xr:uid="{00000000-0005-0000-0000-00008D020000}"/>
    <cellStyle name="Input 3 2 2 2 2 5 2" xfId="1886" xr:uid="{00000000-0005-0000-0000-00008E020000}"/>
    <cellStyle name="Input 3 2 2 2 2 6" xfId="1215" xr:uid="{00000000-0005-0000-0000-00008F020000}"/>
    <cellStyle name="Input 3 2 2 2 2 6 2" xfId="2006" xr:uid="{00000000-0005-0000-0000-000090020000}"/>
    <cellStyle name="Input 3 2 2 2 2 7" xfId="1406" xr:uid="{00000000-0005-0000-0000-000091020000}"/>
    <cellStyle name="Input 3 2 2 2 3" xfId="750" xr:uid="{00000000-0005-0000-0000-000092020000}"/>
    <cellStyle name="Input 3 2 2 2 3 2" xfId="1541" xr:uid="{00000000-0005-0000-0000-000093020000}"/>
    <cellStyle name="Input 3 2 2 2 4" xfId="871" xr:uid="{00000000-0005-0000-0000-000094020000}"/>
    <cellStyle name="Input 3 2 2 2 4 2" xfId="1662" xr:uid="{00000000-0005-0000-0000-000095020000}"/>
    <cellStyle name="Input 3 2 2 2 5" xfId="711" xr:uid="{00000000-0005-0000-0000-000096020000}"/>
    <cellStyle name="Input 3 2 2 2 5 2" xfId="1502" xr:uid="{00000000-0005-0000-0000-000097020000}"/>
    <cellStyle name="Input 3 2 2 2 6" xfId="1015" xr:uid="{00000000-0005-0000-0000-000098020000}"/>
    <cellStyle name="Input 3 2 2 2 6 2" xfId="1806" xr:uid="{00000000-0005-0000-0000-000099020000}"/>
    <cellStyle name="Input 3 2 2 2 7" xfId="1135" xr:uid="{00000000-0005-0000-0000-00009A020000}"/>
    <cellStyle name="Input 3 2 2 2 7 2" xfId="1926" xr:uid="{00000000-0005-0000-0000-00009B020000}"/>
    <cellStyle name="Input 3 2 2 2 8" xfId="1326" xr:uid="{00000000-0005-0000-0000-00009C020000}"/>
    <cellStyle name="Input 3 2 2 3" xfId="594" xr:uid="{00000000-0005-0000-0000-00009D020000}"/>
    <cellStyle name="Input 3 2 2 3 2" xfId="810" xr:uid="{00000000-0005-0000-0000-00009E020000}"/>
    <cellStyle name="Input 3 2 2 3 2 2" xfId="1601" xr:uid="{00000000-0005-0000-0000-00009F020000}"/>
    <cellStyle name="Input 3 2 2 3 3" xfId="930" xr:uid="{00000000-0005-0000-0000-0000A0020000}"/>
    <cellStyle name="Input 3 2 2 3 3 2" xfId="1721" xr:uid="{00000000-0005-0000-0000-0000A1020000}"/>
    <cellStyle name="Input 3 2 2 3 4" xfId="691" xr:uid="{00000000-0005-0000-0000-0000A2020000}"/>
    <cellStyle name="Input 3 2 2 3 4 2" xfId="1482" xr:uid="{00000000-0005-0000-0000-0000A3020000}"/>
    <cellStyle name="Input 3 2 2 3 5" xfId="1074" xr:uid="{00000000-0005-0000-0000-0000A4020000}"/>
    <cellStyle name="Input 3 2 2 3 5 2" xfId="1865" xr:uid="{00000000-0005-0000-0000-0000A5020000}"/>
    <cellStyle name="Input 3 2 2 3 6" xfId="1194" xr:uid="{00000000-0005-0000-0000-0000A6020000}"/>
    <cellStyle name="Input 3 2 2 3 6 2" xfId="1985" xr:uid="{00000000-0005-0000-0000-0000A7020000}"/>
    <cellStyle name="Input 3 2 2 3 7" xfId="1385" xr:uid="{00000000-0005-0000-0000-0000A8020000}"/>
    <cellStyle name="Input 3 2 2 4" xfId="1305" xr:uid="{00000000-0005-0000-0000-0000A9020000}"/>
    <cellStyle name="Input 3 2 3" xfId="531" xr:uid="{00000000-0005-0000-0000-0000AA020000}"/>
    <cellStyle name="Input 3 2 3 2" xfId="614" xr:uid="{00000000-0005-0000-0000-0000AB020000}"/>
    <cellStyle name="Input 3 2 3 2 2" xfId="830" xr:uid="{00000000-0005-0000-0000-0000AC020000}"/>
    <cellStyle name="Input 3 2 3 2 2 2" xfId="1621" xr:uid="{00000000-0005-0000-0000-0000AD020000}"/>
    <cellStyle name="Input 3 2 3 2 3" xfId="950" xr:uid="{00000000-0005-0000-0000-0000AE020000}"/>
    <cellStyle name="Input 3 2 3 2 3 2" xfId="1741" xr:uid="{00000000-0005-0000-0000-0000AF020000}"/>
    <cellStyle name="Input 3 2 3 2 4" xfId="720" xr:uid="{00000000-0005-0000-0000-0000B0020000}"/>
    <cellStyle name="Input 3 2 3 2 4 2" xfId="1511" xr:uid="{00000000-0005-0000-0000-0000B1020000}"/>
    <cellStyle name="Input 3 2 3 2 5" xfId="1094" xr:uid="{00000000-0005-0000-0000-0000B2020000}"/>
    <cellStyle name="Input 3 2 3 2 5 2" xfId="1885" xr:uid="{00000000-0005-0000-0000-0000B3020000}"/>
    <cellStyle name="Input 3 2 3 2 6" xfId="1214" xr:uid="{00000000-0005-0000-0000-0000B4020000}"/>
    <cellStyle name="Input 3 2 3 2 6 2" xfId="2005" xr:uid="{00000000-0005-0000-0000-0000B5020000}"/>
    <cellStyle name="Input 3 2 3 2 7" xfId="1405" xr:uid="{00000000-0005-0000-0000-0000B6020000}"/>
    <cellStyle name="Input 3 2 3 3" xfId="749" xr:uid="{00000000-0005-0000-0000-0000B7020000}"/>
    <cellStyle name="Input 3 2 3 3 2" xfId="1540" xr:uid="{00000000-0005-0000-0000-0000B8020000}"/>
    <cellStyle name="Input 3 2 3 4" xfId="870" xr:uid="{00000000-0005-0000-0000-0000B9020000}"/>
    <cellStyle name="Input 3 2 3 4 2" xfId="1661" xr:uid="{00000000-0005-0000-0000-0000BA020000}"/>
    <cellStyle name="Input 3 2 3 5" xfId="671" xr:uid="{00000000-0005-0000-0000-0000BB020000}"/>
    <cellStyle name="Input 3 2 3 5 2" xfId="1462" xr:uid="{00000000-0005-0000-0000-0000BC020000}"/>
    <cellStyle name="Input 3 2 3 6" xfId="1014" xr:uid="{00000000-0005-0000-0000-0000BD020000}"/>
    <cellStyle name="Input 3 2 3 6 2" xfId="1805" xr:uid="{00000000-0005-0000-0000-0000BE020000}"/>
    <cellStyle name="Input 3 2 3 7" xfId="1134" xr:uid="{00000000-0005-0000-0000-0000BF020000}"/>
    <cellStyle name="Input 3 2 3 7 2" xfId="1925" xr:uid="{00000000-0005-0000-0000-0000C0020000}"/>
    <cellStyle name="Input 3 2 3 8" xfId="1325" xr:uid="{00000000-0005-0000-0000-0000C1020000}"/>
    <cellStyle name="Input 3 2 4" xfId="574" xr:uid="{00000000-0005-0000-0000-0000C2020000}"/>
    <cellStyle name="Input 3 2 4 2" xfId="790" xr:uid="{00000000-0005-0000-0000-0000C3020000}"/>
    <cellStyle name="Input 3 2 4 2 2" xfId="1581" xr:uid="{00000000-0005-0000-0000-0000C4020000}"/>
    <cellStyle name="Input 3 2 4 3" xfId="910" xr:uid="{00000000-0005-0000-0000-0000C5020000}"/>
    <cellStyle name="Input 3 2 4 3 2" xfId="1701" xr:uid="{00000000-0005-0000-0000-0000C6020000}"/>
    <cellStyle name="Input 3 2 4 4" xfId="977" xr:uid="{00000000-0005-0000-0000-0000C7020000}"/>
    <cellStyle name="Input 3 2 4 4 2" xfId="1768" xr:uid="{00000000-0005-0000-0000-0000C8020000}"/>
    <cellStyle name="Input 3 2 4 5" xfId="1054" xr:uid="{00000000-0005-0000-0000-0000C9020000}"/>
    <cellStyle name="Input 3 2 4 5 2" xfId="1845" xr:uid="{00000000-0005-0000-0000-0000CA020000}"/>
    <cellStyle name="Input 3 2 4 6" xfId="1174" xr:uid="{00000000-0005-0000-0000-0000CB020000}"/>
    <cellStyle name="Input 3 2 4 6 2" xfId="1965" xr:uid="{00000000-0005-0000-0000-0000CC020000}"/>
    <cellStyle name="Input 3 2 4 7" xfId="1365" xr:uid="{00000000-0005-0000-0000-0000CD020000}"/>
    <cellStyle name="Input 3 2 5" xfId="1285" xr:uid="{00000000-0005-0000-0000-0000CE020000}"/>
    <cellStyle name="Input 3 3" xfId="499" xr:uid="{00000000-0005-0000-0000-0000CF020000}"/>
    <cellStyle name="Input 3 3 2" xfId="533" xr:uid="{00000000-0005-0000-0000-0000D0020000}"/>
    <cellStyle name="Input 3 3 2 2" xfId="616" xr:uid="{00000000-0005-0000-0000-0000D1020000}"/>
    <cellStyle name="Input 3 3 2 2 2" xfId="832" xr:uid="{00000000-0005-0000-0000-0000D2020000}"/>
    <cellStyle name="Input 3 3 2 2 2 2" xfId="1623" xr:uid="{00000000-0005-0000-0000-0000D3020000}"/>
    <cellStyle name="Input 3 3 2 2 3" xfId="952" xr:uid="{00000000-0005-0000-0000-0000D4020000}"/>
    <cellStyle name="Input 3 3 2 2 3 2" xfId="1743" xr:uid="{00000000-0005-0000-0000-0000D5020000}"/>
    <cellStyle name="Input 3 3 2 2 4" xfId="700" xr:uid="{00000000-0005-0000-0000-0000D6020000}"/>
    <cellStyle name="Input 3 3 2 2 4 2" xfId="1491" xr:uid="{00000000-0005-0000-0000-0000D7020000}"/>
    <cellStyle name="Input 3 3 2 2 5" xfId="1096" xr:uid="{00000000-0005-0000-0000-0000D8020000}"/>
    <cellStyle name="Input 3 3 2 2 5 2" xfId="1887" xr:uid="{00000000-0005-0000-0000-0000D9020000}"/>
    <cellStyle name="Input 3 3 2 2 6" xfId="1216" xr:uid="{00000000-0005-0000-0000-0000DA020000}"/>
    <cellStyle name="Input 3 3 2 2 6 2" xfId="2007" xr:uid="{00000000-0005-0000-0000-0000DB020000}"/>
    <cellStyle name="Input 3 3 2 2 7" xfId="1407" xr:uid="{00000000-0005-0000-0000-0000DC020000}"/>
    <cellStyle name="Input 3 3 2 3" xfId="751" xr:uid="{00000000-0005-0000-0000-0000DD020000}"/>
    <cellStyle name="Input 3 3 2 3 2" xfId="1542" xr:uid="{00000000-0005-0000-0000-0000DE020000}"/>
    <cellStyle name="Input 3 3 2 4" xfId="872" xr:uid="{00000000-0005-0000-0000-0000DF020000}"/>
    <cellStyle name="Input 3 3 2 4 2" xfId="1663" xr:uid="{00000000-0005-0000-0000-0000E0020000}"/>
    <cellStyle name="Input 3 3 2 5" xfId="710" xr:uid="{00000000-0005-0000-0000-0000E1020000}"/>
    <cellStyle name="Input 3 3 2 5 2" xfId="1501" xr:uid="{00000000-0005-0000-0000-0000E2020000}"/>
    <cellStyle name="Input 3 3 2 6" xfId="1016" xr:uid="{00000000-0005-0000-0000-0000E3020000}"/>
    <cellStyle name="Input 3 3 2 6 2" xfId="1807" xr:uid="{00000000-0005-0000-0000-0000E4020000}"/>
    <cellStyle name="Input 3 3 2 7" xfId="1136" xr:uid="{00000000-0005-0000-0000-0000E5020000}"/>
    <cellStyle name="Input 3 3 2 7 2" xfId="1927" xr:uid="{00000000-0005-0000-0000-0000E6020000}"/>
    <cellStyle name="Input 3 3 2 8" xfId="1327" xr:uid="{00000000-0005-0000-0000-0000E7020000}"/>
    <cellStyle name="Input 3 3 3" xfId="584" xr:uid="{00000000-0005-0000-0000-0000E8020000}"/>
    <cellStyle name="Input 3 3 3 2" xfId="800" xr:uid="{00000000-0005-0000-0000-0000E9020000}"/>
    <cellStyle name="Input 3 3 3 2 2" xfId="1591" xr:uid="{00000000-0005-0000-0000-0000EA020000}"/>
    <cellStyle name="Input 3 3 3 3" xfId="920" xr:uid="{00000000-0005-0000-0000-0000EB020000}"/>
    <cellStyle name="Input 3 3 3 3 2" xfId="1711" xr:uid="{00000000-0005-0000-0000-0000EC020000}"/>
    <cellStyle name="Input 3 3 3 4" xfId="979" xr:uid="{00000000-0005-0000-0000-0000ED020000}"/>
    <cellStyle name="Input 3 3 3 4 2" xfId="1770" xr:uid="{00000000-0005-0000-0000-0000EE020000}"/>
    <cellStyle name="Input 3 3 3 5" xfId="1064" xr:uid="{00000000-0005-0000-0000-0000EF020000}"/>
    <cellStyle name="Input 3 3 3 5 2" xfId="1855" xr:uid="{00000000-0005-0000-0000-0000F0020000}"/>
    <cellStyle name="Input 3 3 3 6" xfId="1184" xr:uid="{00000000-0005-0000-0000-0000F1020000}"/>
    <cellStyle name="Input 3 3 3 6 2" xfId="1975" xr:uid="{00000000-0005-0000-0000-0000F2020000}"/>
    <cellStyle name="Input 3 3 3 7" xfId="1375" xr:uid="{00000000-0005-0000-0000-0000F3020000}"/>
    <cellStyle name="Input 3 3 4" xfId="1295" xr:uid="{00000000-0005-0000-0000-0000F4020000}"/>
    <cellStyle name="Input 3 4" xfId="530" xr:uid="{00000000-0005-0000-0000-0000F5020000}"/>
    <cellStyle name="Input 3 4 2" xfId="613" xr:uid="{00000000-0005-0000-0000-0000F6020000}"/>
    <cellStyle name="Input 3 4 2 2" xfId="829" xr:uid="{00000000-0005-0000-0000-0000F7020000}"/>
    <cellStyle name="Input 3 4 2 2 2" xfId="1620" xr:uid="{00000000-0005-0000-0000-0000F8020000}"/>
    <cellStyle name="Input 3 4 2 3" xfId="949" xr:uid="{00000000-0005-0000-0000-0000F9020000}"/>
    <cellStyle name="Input 3 4 2 3 2" xfId="1740" xr:uid="{00000000-0005-0000-0000-0000FA020000}"/>
    <cellStyle name="Input 3 4 2 4" xfId="695" xr:uid="{00000000-0005-0000-0000-0000FB020000}"/>
    <cellStyle name="Input 3 4 2 4 2" xfId="1486" xr:uid="{00000000-0005-0000-0000-0000FC020000}"/>
    <cellStyle name="Input 3 4 2 5" xfId="1093" xr:uid="{00000000-0005-0000-0000-0000FD020000}"/>
    <cellStyle name="Input 3 4 2 5 2" xfId="1884" xr:uid="{00000000-0005-0000-0000-0000FE020000}"/>
    <cellStyle name="Input 3 4 2 6" xfId="1213" xr:uid="{00000000-0005-0000-0000-0000FF020000}"/>
    <cellStyle name="Input 3 4 2 6 2" xfId="2004" xr:uid="{00000000-0005-0000-0000-000000030000}"/>
    <cellStyle name="Input 3 4 2 7" xfId="1404" xr:uid="{00000000-0005-0000-0000-000001030000}"/>
    <cellStyle name="Input 3 4 3" xfId="748" xr:uid="{00000000-0005-0000-0000-000002030000}"/>
    <cellStyle name="Input 3 4 3 2" xfId="1539" xr:uid="{00000000-0005-0000-0000-000003030000}"/>
    <cellStyle name="Input 3 4 4" xfId="869" xr:uid="{00000000-0005-0000-0000-000004030000}"/>
    <cellStyle name="Input 3 4 4 2" xfId="1660" xr:uid="{00000000-0005-0000-0000-000005030000}"/>
    <cellStyle name="Input 3 4 5" xfId="713" xr:uid="{00000000-0005-0000-0000-000006030000}"/>
    <cellStyle name="Input 3 4 5 2" xfId="1504" xr:uid="{00000000-0005-0000-0000-000007030000}"/>
    <cellStyle name="Input 3 4 6" xfId="1013" xr:uid="{00000000-0005-0000-0000-000008030000}"/>
    <cellStyle name="Input 3 4 6 2" xfId="1804" xr:uid="{00000000-0005-0000-0000-000009030000}"/>
    <cellStyle name="Input 3 4 7" xfId="1133" xr:uid="{00000000-0005-0000-0000-00000A030000}"/>
    <cellStyle name="Input 3 4 7 2" xfId="1924" xr:uid="{00000000-0005-0000-0000-00000B030000}"/>
    <cellStyle name="Input 3 4 8" xfId="1324" xr:uid="{00000000-0005-0000-0000-00000C030000}"/>
    <cellStyle name="Input 3 5" xfId="564" xr:uid="{00000000-0005-0000-0000-00000D030000}"/>
    <cellStyle name="Input 3 5 2" xfId="780" xr:uid="{00000000-0005-0000-0000-00000E030000}"/>
    <cellStyle name="Input 3 5 2 2" xfId="1571" xr:uid="{00000000-0005-0000-0000-00000F030000}"/>
    <cellStyle name="Input 3 5 3" xfId="900" xr:uid="{00000000-0005-0000-0000-000010030000}"/>
    <cellStyle name="Input 3 5 3 2" xfId="1691" xr:uid="{00000000-0005-0000-0000-000011030000}"/>
    <cellStyle name="Input 3 5 4" xfId="996" xr:uid="{00000000-0005-0000-0000-000012030000}"/>
    <cellStyle name="Input 3 5 4 2" xfId="1787" xr:uid="{00000000-0005-0000-0000-000013030000}"/>
    <cellStyle name="Input 3 5 5" xfId="1044" xr:uid="{00000000-0005-0000-0000-000014030000}"/>
    <cellStyle name="Input 3 5 5 2" xfId="1835" xr:uid="{00000000-0005-0000-0000-000015030000}"/>
    <cellStyle name="Input 3 5 6" xfId="1164" xr:uid="{00000000-0005-0000-0000-000016030000}"/>
    <cellStyle name="Input 3 5 6 2" xfId="1955" xr:uid="{00000000-0005-0000-0000-000017030000}"/>
    <cellStyle name="Input 3 5 7" xfId="1355" xr:uid="{00000000-0005-0000-0000-000018030000}"/>
    <cellStyle name="Input 3 6" xfId="1273" xr:uid="{00000000-0005-0000-0000-000019030000}"/>
    <cellStyle name="Linked Cell 2" xfId="389" xr:uid="{00000000-0005-0000-0000-00001A030000}"/>
    <cellStyle name="Linked Cell 3" xfId="408" xr:uid="{00000000-0005-0000-0000-00001B030000}"/>
    <cellStyle name="Neutral 2" xfId="341" xr:uid="{00000000-0005-0000-0000-00001C030000}"/>
    <cellStyle name="Neutral 3" xfId="364" xr:uid="{00000000-0005-0000-0000-00001D030000}"/>
    <cellStyle name="Normal" xfId="0" builtinId="0"/>
    <cellStyle name="Normal 10" xfId="9" xr:uid="{00000000-0005-0000-0000-00001F030000}"/>
    <cellStyle name="Normal 10 2" xfId="158" xr:uid="{00000000-0005-0000-0000-000020030000}"/>
    <cellStyle name="Normal 11" xfId="10" xr:uid="{00000000-0005-0000-0000-000021030000}"/>
    <cellStyle name="Normal 11 2" xfId="159" xr:uid="{00000000-0005-0000-0000-000022030000}"/>
    <cellStyle name="Normal 12" xfId="11" xr:uid="{00000000-0005-0000-0000-000023030000}"/>
    <cellStyle name="Normal 12 2" xfId="160" xr:uid="{00000000-0005-0000-0000-000024030000}"/>
    <cellStyle name="Normal 13" xfId="12" xr:uid="{00000000-0005-0000-0000-000025030000}"/>
    <cellStyle name="Normal 13 2" xfId="161" xr:uid="{00000000-0005-0000-0000-000026030000}"/>
    <cellStyle name="Normal 14" xfId="13" xr:uid="{00000000-0005-0000-0000-000027030000}"/>
    <cellStyle name="Normal 14 2" xfId="162" xr:uid="{00000000-0005-0000-0000-000028030000}"/>
    <cellStyle name="Normal 15" xfId="14" xr:uid="{00000000-0005-0000-0000-000029030000}"/>
    <cellStyle name="Normal 15 2" xfId="163" xr:uid="{00000000-0005-0000-0000-00002A030000}"/>
    <cellStyle name="Normal 16" xfId="15" xr:uid="{00000000-0005-0000-0000-00002B030000}"/>
    <cellStyle name="Normal 16 2" xfId="164" xr:uid="{00000000-0005-0000-0000-00002C030000}"/>
    <cellStyle name="Normal 17" xfId="16" xr:uid="{00000000-0005-0000-0000-00002D030000}"/>
    <cellStyle name="Normal 17 2" xfId="165" xr:uid="{00000000-0005-0000-0000-00002E030000}"/>
    <cellStyle name="Normal 18" xfId="17" xr:uid="{00000000-0005-0000-0000-00002F030000}"/>
    <cellStyle name="Normal 18 2" xfId="166" xr:uid="{00000000-0005-0000-0000-000030030000}"/>
    <cellStyle name="Normal 19" xfId="18" xr:uid="{00000000-0005-0000-0000-000031030000}"/>
    <cellStyle name="Normal 19 2" xfId="167" xr:uid="{00000000-0005-0000-0000-000032030000}"/>
    <cellStyle name="Normal 2" xfId="19" xr:uid="{00000000-0005-0000-0000-000033030000}"/>
    <cellStyle name="Normal 2 2" xfId="156" xr:uid="{00000000-0005-0000-0000-000034030000}"/>
    <cellStyle name="Normal 2 3" xfId="301" xr:uid="{00000000-0005-0000-0000-000035030000}"/>
    <cellStyle name="Normal 2 4" xfId="1269" xr:uid="{00000000-0005-0000-0000-000036030000}"/>
    <cellStyle name="Normal 2 5" xfId="1265" xr:uid="{00000000-0005-0000-0000-000037030000}"/>
    <cellStyle name="Normal 20" xfId="20" xr:uid="{00000000-0005-0000-0000-000038030000}"/>
    <cellStyle name="Normal 20 2" xfId="168" xr:uid="{00000000-0005-0000-0000-000039030000}"/>
    <cellStyle name="Normal 21" xfId="21" xr:uid="{00000000-0005-0000-0000-00003A030000}"/>
    <cellStyle name="Normal 21 2" xfId="169" xr:uid="{00000000-0005-0000-0000-00003B030000}"/>
    <cellStyle name="Normal 22" xfId="22" xr:uid="{00000000-0005-0000-0000-00003C030000}"/>
    <cellStyle name="Normal 22 2" xfId="170" xr:uid="{00000000-0005-0000-0000-00003D030000}"/>
    <cellStyle name="Normal 23" xfId="23" xr:uid="{00000000-0005-0000-0000-00003E030000}"/>
    <cellStyle name="Normal 23 2" xfId="171" xr:uid="{00000000-0005-0000-0000-00003F030000}"/>
    <cellStyle name="Normal 24" xfId="24" xr:uid="{00000000-0005-0000-0000-000040030000}"/>
    <cellStyle name="Normal 24 2" xfId="172" xr:uid="{00000000-0005-0000-0000-000041030000}"/>
    <cellStyle name="Normal 25" xfId="25" xr:uid="{00000000-0005-0000-0000-000042030000}"/>
    <cellStyle name="Normal 25 2" xfId="173" xr:uid="{00000000-0005-0000-0000-000043030000}"/>
    <cellStyle name="Normal 26" xfId="26" xr:uid="{00000000-0005-0000-0000-000044030000}"/>
    <cellStyle name="Normal 26 2" xfId="174" xr:uid="{00000000-0005-0000-0000-000045030000}"/>
    <cellStyle name="Normal 27" xfId="27" xr:uid="{00000000-0005-0000-0000-000046030000}"/>
    <cellStyle name="Normal 27 2" xfId="175" xr:uid="{00000000-0005-0000-0000-000047030000}"/>
    <cellStyle name="Normal 28" xfId="28" xr:uid="{00000000-0005-0000-0000-000048030000}"/>
    <cellStyle name="Normal 28 2" xfId="176" xr:uid="{00000000-0005-0000-0000-000049030000}"/>
    <cellStyle name="Normal 29" xfId="29" xr:uid="{00000000-0005-0000-0000-00004A030000}"/>
    <cellStyle name="Normal 29 2" xfId="177" xr:uid="{00000000-0005-0000-0000-00004B030000}"/>
    <cellStyle name="Normal 3" xfId="30" xr:uid="{00000000-0005-0000-0000-00004C030000}"/>
    <cellStyle name="Normal 3 2" xfId="178" xr:uid="{00000000-0005-0000-0000-00004D030000}"/>
    <cellStyle name="Normal 30" xfId="31" xr:uid="{00000000-0005-0000-0000-00004E030000}"/>
    <cellStyle name="Normal 30 2" xfId="179" xr:uid="{00000000-0005-0000-0000-00004F030000}"/>
    <cellStyle name="Normal 31" xfId="32" xr:uid="{00000000-0005-0000-0000-000050030000}"/>
    <cellStyle name="Normal 31 2" xfId="180" xr:uid="{00000000-0005-0000-0000-000051030000}"/>
    <cellStyle name="Normal 32" xfId="154" xr:uid="{00000000-0005-0000-0000-000052030000}"/>
    <cellStyle name="Normal 33" xfId="5" xr:uid="{00000000-0005-0000-0000-000053030000}"/>
    <cellStyle name="Normal 34" xfId="300" xr:uid="{00000000-0005-0000-0000-000054030000}"/>
    <cellStyle name="Normal 35" xfId="3" xr:uid="{00000000-0005-0000-0000-000055030000}"/>
    <cellStyle name="Normal 36" xfId="317" xr:uid="{00000000-0005-0000-0000-000056030000}"/>
    <cellStyle name="Normal 36 2" xfId="1245" xr:uid="{00000000-0005-0000-0000-000057030000}"/>
    <cellStyle name="Normal 37" xfId="441" xr:uid="{00000000-0005-0000-0000-000058030000}"/>
    <cellStyle name="Normal 37 2" xfId="1250" xr:uid="{00000000-0005-0000-0000-000059030000}"/>
    <cellStyle name="Normal 38" xfId="490" xr:uid="{00000000-0005-0000-0000-00005A030000}"/>
    <cellStyle name="Normal 38 2" xfId="1256" xr:uid="{00000000-0005-0000-0000-00005B030000}"/>
    <cellStyle name="Normal 39" xfId="558" xr:uid="{00000000-0005-0000-0000-00005C030000}"/>
    <cellStyle name="Normal 4" xfId="33" xr:uid="{00000000-0005-0000-0000-00005D030000}"/>
    <cellStyle name="Normal 4 2" xfId="181" xr:uid="{00000000-0005-0000-0000-00005E030000}"/>
    <cellStyle name="Normal 40" xfId="1242" xr:uid="{00000000-0005-0000-0000-00005F030000}"/>
    <cellStyle name="Normal 41" xfId="1266" xr:uid="{00000000-0005-0000-0000-000060030000}"/>
    <cellStyle name="Normal 5" xfId="34" xr:uid="{00000000-0005-0000-0000-000061030000}"/>
    <cellStyle name="Normal 5 2" xfId="182" xr:uid="{00000000-0005-0000-0000-000062030000}"/>
    <cellStyle name="Normal 6" xfId="35" xr:uid="{00000000-0005-0000-0000-000063030000}"/>
    <cellStyle name="Normal 6 2" xfId="183" xr:uid="{00000000-0005-0000-0000-000064030000}"/>
    <cellStyle name="Normal 7" xfId="36" xr:uid="{00000000-0005-0000-0000-000065030000}"/>
    <cellStyle name="Normal 7 2" xfId="184" xr:uid="{00000000-0005-0000-0000-000066030000}"/>
    <cellStyle name="Normal 8" xfId="37" xr:uid="{00000000-0005-0000-0000-000067030000}"/>
    <cellStyle name="Normal 8 2" xfId="185" xr:uid="{00000000-0005-0000-0000-000068030000}"/>
    <cellStyle name="Normal 9" xfId="38" xr:uid="{00000000-0005-0000-0000-000069030000}"/>
    <cellStyle name="Normal 9 2" xfId="186" xr:uid="{00000000-0005-0000-0000-00006A030000}"/>
    <cellStyle name="Note 2" xfId="409" xr:uid="{00000000-0005-0000-0000-00006B030000}"/>
    <cellStyle name="Note 2 2" xfId="484" xr:uid="{00000000-0005-0000-0000-00006C030000}"/>
    <cellStyle name="Note 2 2 2" xfId="515" xr:uid="{00000000-0005-0000-0000-00006D030000}"/>
    <cellStyle name="Note 2 2 2 2" xfId="536" xr:uid="{00000000-0005-0000-0000-00006E030000}"/>
    <cellStyle name="Note 2 2 2 2 2" xfId="619" xr:uid="{00000000-0005-0000-0000-00006F030000}"/>
    <cellStyle name="Note 2 2 2 2 2 2" xfId="835" xr:uid="{00000000-0005-0000-0000-000070030000}"/>
    <cellStyle name="Note 2 2 2 2 2 2 2" xfId="1626" xr:uid="{00000000-0005-0000-0000-000071030000}"/>
    <cellStyle name="Note 2 2 2 2 2 3" xfId="955" xr:uid="{00000000-0005-0000-0000-000072030000}"/>
    <cellStyle name="Note 2 2 2 2 2 3 2" xfId="1746" xr:uid="{00000000-0005-0000-0000-000073030000}"/>
    <cellStyle name="Note 2 2 2 2 2 4" xfId="648" xr:uid="{00000000-0005-0000-0000-000074030000}"/>
    <cellStyle name="Note 2 2 2 2 2 4 2" xfId="1439" xr:uid="{00000000-0005-0000-0000-000075030000}"/>
    <cellStyle name="Note 2 2 2 2 2 5" xfId="1099" xr:uid="{00000000-0005-0000-0000-000076030000}"/>
    <cellStyle name="Note 2 2 2 2 2 5 2" xfId="1890" xr:uid="{00000000-0005-0000-0000-000077030000}"/>
    <cellStyle name="Note 2 2 2 2 2 6" xfId="1219" xr:uid="{00000000-0005-0000-0000-000078030000}"/>
    <cellStyle name="Note 2 2 2 2 2 6 2" xfId="2010" xr:uid="{00000000-0005-0000-0000-000079030000}"/>
    <cellStyle name="Note 2 2 2 2 2 7" xfId="1410" xr:uid="{00000000-0005-0000-0000-00007A030000}"/>
    <cellStyle name="Note 2 2 2 2 3" xfId="754" xr:uid="{00000000-0005-0000-0000-00007B030000}"/>
    <cellStyle name="Note 2 2 2 2 3 2" xfId="1545" xr:uid="{00000000-0005-0000-0000-00007C030000}"/>
    <cellStyle name="Note 2 2 2 2 4" xfId="875" xr:uid="{00000000-0005-0000-0000-00007D030000}"/>
    <cellStyle name="Note 2 2 2 2 4 2" xfId="1666" xr:uid="{00000000-0005-0000-0000-00007E030000}"/>
    <cellStyle name="Note 2 2 2 2 5" xfId="664" xr:uid="{00000000-0005-0000-0000-00007F030000}"/>
    <cellStyle name="Note 2 2 2 2 5 2" xfId="1455" xr:uid="{00000000-0005-0000-0000-000080030000}"/>
    <cellStyle name="Note 2 2 2 2 6" xfId="1019" xr:uid="{00000000-0005-0000-0000-000081030000}"/>
    <cellStyle name="Note 2 2 2 2 6 2" xfId="1810" xr:uid="{00000000-0005-0000-0000-000082030000}"/>
    <cellStyle name="Note 2 2 2 2 7" xfId="1139" xr:uid="{00000000-0005-0000-0000-000083030000}"/>
    <cellStyle name="Note 2 2 2 2 7 2" xfId="1930" xr:uid="{00000000-0005-0000-0000-000084030000}"/>
    <cellStyle name="Note 2 2 2 2 8" xfId="1330" xr:uid="{00000000-0005-0000-0000-000085030000}"/>
    <cellStyle name="Note 2 2 2 3" xfId="598" xr:uid="{00000000-0005-0000-0000-000086030000}"/>
    <cellStyle name="Note 2 2 2 3 2" xfId="814" xr:uid="{00000000-0005-0000-0000-000087030000}"/>
    <cellStyle name="Note 2 2 2 3 2 2" xfId="1605" xr:uid="{00000000-0005-0000-0000-000088030000}"/>
    <cellStyle name="Note 2 2 2 3 3" xfId="934" xr:uid="{00000000-0005-0000-0000-000089030000}"/>
    <cellStyle name="Note 2 2 2 3 3 2" xfId="1725" xr:uid="{00000000-0005-0000-0000-00008A030000}"/>
    <cellStyle name="Note 2 2 2 3 4" xfId="660" xr:uid="{00000000-0005-0000-0000-00008B030000}"/>
    <cellStyle name="Note 2 2 2 3 4 2" xfId="1451" xr:uid="{00000000-0005-0000-0000-00008C030000}"/>
    <cellStyle name="Note 2 2 2 3 5" xfId="1078" xr:uid="{00000000-0005-0000-0000-00008D030000}"/>
    <cellStyle name="Note 2 2 2 3 5 2" xfId="1869" xr:uid="{00000000-0005-0000-0000-00008E030000}"/>
    <cellStyle name="Note 2 2 2 3 6" xfId="1198" xr:uid="{00000000-0005-0000-0000-00008F030000}"/>
    <cellStyle name="Note 2 2 2 3 6 2" xfId="1989" xr:uid="{00000000-0005-0000-0000-000090030000}"/>
    <cellStyle name="Note 2 2 2 3 7" xfId="1389" xr:uid="{00000000-0005-0000-0000-000091030000}"/>
    <cellStyle name="Note 2 2 2 4" xfId="1309" xr:uid="{00000000-0005-0000-0000-000092030000}"/>
    <cellStyle name="Note 2 2 3" xfId="535" xr:uid="{00000000-0005-0000-0000-000093030000}"/>
    <cellStyle name="Note 2 2 3 2" xfId="618" xr:uid="{00000000-0005-0000-0000-000094030000}"/>
    <cellStyle name="Note 2 2 3 2 2" xfId="834" xr:uid="{00000000-0005-0000-0000-000095030000}"/>
    <cellStyle name="Note 2 2 3 2 2 2" xfId="1625" xr:uid="{00000000-0005-0000-0000-000096030000}"/>
    <cellStyle name="Note 2 2 3 2 3" xfId="954" xr:uid="{00000000-0005-0000-0000-000097030000}"/>
    <cellStyle name="Note 2 2 3 2 3 2" xfId="1745" xr:uid="{00000000-0005-0000-0000-000098030000}"/>
    <cellStyle name="Note 2 2 3 2 4" xfId="701" xr:uid="{00000000-0005-0000-0000-000099030000}"/>
    <cellStyle name="Note 2 2 3 2 4 2" xfId="1492" xr:uid="{00000000-0005-0000-0000-00009A030000}"/>
    <cellStyle name="Note 2 2 3 2 5" xfId="1098" xr:uid="{00000000-0005-0000-0000-00009B030000}"/>
    <cellStyle name="Note 2 2 3 2 5 2" xfId="1889" xr:uid="{00000000-0005-0000-0000-00009C030000}"/>
    <cellStyle name="Note 2 2 3 2 6" xfId="1218" xr:uid="{00000000-0005-0000-0000-00009D030000}"/>
    <cellStyle name="Note 2 2 3 2 6 2" xfId="2009" xr:uid="{00000000-0005-0000-0000-00009E030000}"/>
    <cellStyle name="Note 2 2 3 2 7" xfId="1409" xr:uid="{00000000-0005-0000-0000-00009F030000}"/>
    <cellStyle name="Note 2 2 3 3" xfId="753" xr:uid="{00000000-0005-0000-0000-0000A0030000}"/>
    <cellStyle name="Note 2 2 3 3 2" xfId="1544" xr:uid="{00000000-0005-0000-0000-0000A1030000}"/>
    <cellStyle name="Note 2 2 3 4" xfId="874" xr:uid="{00000000-0005-0000-0000-0000A2030000}"/>
    <cellStyle name="Note 2 2 3 4 2" xfId="1665" xr:uid="{00000000-0005-0000-0000-0000A3030000}"/>
    <cellStyle name="Note 2 2 3 5" xfId="714" xr:uid="{00000000-0005-0000-0000-0000A4030000}"/>
    <cellStyle name="Note 2 2 3 5 2" xfId="1505" xr:uid="{00000000-0005-0000-0000-0000A5030000}"/>
    <cellStyle name="Note 2 2 3 6" xfId="1018" xr:uid="{00000000-0005-0000-0000-0000A6030000}"/>
    <cellStyle name="Note 2 2 3 6 2" xfId="1809" xr:uid="{00000000-0005-0000-0000-0000A7030000}"/>
    <cellStyle name="Note 2 2 3 7" xfId="1138" xr:uid="{00000000-0005-0000-0000-0000A8030000}"/>
    <cellStyle name="Note 2 2 3 7 2" xfId="1929" xr:uid="{00000000-0005-0000-0000-0000A9030000}"/>
    <cellStyle name="Note 2 2 3 8" xfId="1329" xr:uid="{00000000-0005-0000-0000-0000AA030000}"/>
    <cellStyle name="Note 2 2 4" xfId="578" xr:uid="{00000000-0005-0000-0000-0000AB030000}"/>
    <cellStyle name="Note 2 2 4 2" xfId="794" xr:uid="{00000000-0005-0000-0000-0000AC030000}"/>
    <cellStyle name="Note 2 2 4 2 2" xfId="1585" xr:uid="{00000000-0005-0000-0000-0000AD030000}"/>
    <cellStyle name="Note 2 2 4 3" xfId="914" xr:uid="{00000000-0005-0000-0000-0000AE030000}"/>
    <cellStyle name="Note 2 2 4 3 2" xfId="1705" xr:uid="{00000000-0005-0000-0000-0000AF030000}"/>
    <cellStyle name="Note 2 2 4 4" xfId="655" xr:uid="{00000000-0005-0000-0000-0000B0030000}"/>
    <cellStyle name="Note 2 2 4 4 2" xfId="1446" xr:uid="{00000000-0005-0000-0000-0000B1030000}"/>
    <cellStyle name="Note 2 2 4 5" xfId="1058" xr:uid="{00000000-0005-0000-0000-0000B2030000}"/>
    <cellStyle name="Note 2 2 4 5 2" xfId="1849" xr:uid="{00000000-0005-0000-0000-0000B3030000}"/>
    <cellStyle name="Note 2 2 4 6" xfId="1178" xr:uid="{00000000-0005-0000-0000-0000B4030000}"/>
    <cellStyle name="Note 2 2 4 6 2" xfId="1969" xr:uid="{00000000-0005-0000-0000-0000B5030000}"/>
    <cellStyle name="Note 2 2 4 7" xfId="1369" xr:uid="{00000000-0005-0000-0000-0000B6030000}"/>
    <cellStyle name="Note 2 2 5" xfId="1289" xr:uid="{00000000-0005-0000-0000-0000B7030000}"/>
    <cellStyle name="Note 2 3" xfId="504" xr:uid="{00000000-0005-0000-0000-0000B8030000}"/>
    <cellStyle name="Note 2 3 2" xfId="537" xr:uid="{00000000-0005-0000-0000-0000B9030000}"/>
    <cellStyle name="Note 2 3 2 2" xfId="620" xr:uid="{00000000-0005-0000-0000-0000BA030000}"/>
    <cellStyle name="Note 2 3 2 2 2" xfId="836" xr:uid="{00000000-0005-0000-0000-0000BB030000}"/>
    <cellStyle name="Note 2 3 2 2 2 2" xfId="1627" xr:uid="{00000000-0005-0000-0000-0000BC030000}"/>
    <cellStyle name="Note 2 3 2 2 3" xfId="956" xr:uid="{00000000-0005-0000-0000-0000BD030000}"/>
    <cellStyle name="Note 2 3 2 2 3 2" xfId="1747" xr:uid="{00000000-0005-0000-0000-0000BE030000}"/>
    <cellStyle name="Note 2 3 2 2 4" xfId="703" xr:uid="{00000000-0005-0000-0000-0000BF030000}"/>
    <cellStyle name="Note 2 3 2 2 4 2" xfId="1494" xr:uid="{00000000-0005-0000-0000-0000C0030000}"/>
    <cellStyle name="Note 2 3 2 2 5" xfId="1100" xr:uid="{00000000-0005-0000-0000-0000C1030000}"/>
    <cellStyle name="Note 2 3 2 2 5 2" xfId="1891" xr:uid="{00000000-0005-0000-0000-0000C2030000}"/>
    <cellStyle name="Note 2 3 2 2 6" xfId="1220" xr:uid="{00000000-0005-0000-0000-0000C3030000}"/>
    <cellStyle name="Note 2 3 2 2 6 2" xfId="2011" xr:uid="{00000000-0005-0000-0000-0000C4030000}"/>
    <cellStyle name="Note 2 3 2 2 7" xfId="1411" xr:uid="{00000000-0005-0000-0000-0000C5030000}"/>
    <cellStyle name="Note 2 3 2 3" xfId="755" xr:uid="{00000000-0005-0000-0000-0000C6030000}"/>
    <cellStyle name="Note 2 3 2 3 2" xfId="1546" xr:uid="{00000000-0005-0000-0000-0000C7030000}"/>
    <cellStyle name="Note 2 3 2 4" xfId="876" xr:uid="{00000000-0005-0000-0000-0000C8030000}"/>
    <cellStyle name="Note 2 3 2 4 2" xfId="1667" xr:uid="{00000000-0005-0000-0000-0000C9030000}"/>
    <cellStyle name="Note 2 3 2 5" xfId="656" xr:uid="{00000000-0005-0000-0000-0000CA030000}"/>
    <cellStyle name="Note 2 3 2 5 2" xfId="1447" xr:uid="{00000000-0005-0000-0000-0000CB030000}"/>
    <cellStyle name="Note 2 3 2 6" xfId="1020" xr:uid="{00000000-0005-0000-0000-0000CC030000}"/>
    <cellStyle name="Note 2 3 2 6 2" xfId="1811" xr:uid="{00000000-0005-0000-0000-0000CD030000}"/>
    <cellStyle name="Note 2 3 2 7" xfId="1140" xr:uid="{00000000-0005-0000-0000-0000CE030000}"/>
    <cellStyle name="Note 2 3 2 7 2" xfId="1931" xr:uid="{00000000-0005-0000-0000-0000CF030000}"/>
    <cellStyle name="Note 2 3 2 8" xfId="1331" xr:uid="{00000000-0005-0000-0000-0000D0030000}"/>
    <cellStyle name="Note 2 3 3" xfId="588" xr:uid="{00000000-0005-0000-0000-0000D1030000}"/>
    <cellStyle name="Note 2 3 3 2" xfId="804" xr:uid="{00000000-0005-0000-0000-0000D2030000}"/>
    <cellStyle name="Note 2 3 3 2 2" xfId="1595" xr:uid="{00000000-0005-0000-0000-0000D3030000}"/>
    <cellStyle name="Note 2 3 3 3" xfId="924" xr:uid="{00000000-0005-0000-0000-0000D4030000}"/>
    <cellStyle name="Note 2 3 3 3 2" xfId="1715" xr:uid="{00000000-0005-0000-0000-0000D5030000}"/>
    <cellStyle name="Note 2 3 3 4" xfId="702" xr:uid="{00000000-0005-0000-0000-0000D6030000}"/>
    <cellStyle name="Note 2 3 3 4 2" xfId="1493" xr:uid="{00000000-0005-0000-0000-0000D7030000}"/>
    <cellStyle name="Note 2 3 3 5" xfId="1068" xr:uid="{00000000-0005-0000-0000-0000D8030000}"/>
    <cellStyle name="Note 2 3 3 5 2" xfId="1859" xr:uid="{00000000-0005-0000-0000-0000D9030000}"/>
    <cellStyle name="Note 2 3 3 6" xfId="1188" xr:uid="{00000000-0005-0000-0000-0000DA030000}"/>
    <cellStyle name="Note 2 3 3 6 2" xfId="1979" xr:uid="{00000000-0005-0000-0000-0000DB030000}"/>
    <cellStyle name="Note 2 3 3 7" xfId="1379" xr:uid="{00000000-0005-0000-0000-0000DC030000}"/>
    <cellStyle name="Note 2 3 4" xfId="1299" xr:uid="{00000000-0005-0000-0000-0000DD030000}"/>
    <cellStyle name="Note 2 4" xfId="534" xr:uid="{00000000-0005-0000-0000-0000DE030000}"/>
    <cellStyle name="Note 2 4 2" xfId="617" xr:uid="{00000000-0005-0000-0000-0000DF030000}"/>
    <cellStyle name="Note 2 4 2 2" xfId="833" xr:uid="{00000000-0005-0000-0000-0000E0030000}"/>
    <cellStyle name="Note 2 4 2 2 2" xfId="1624" xr:uid="{00000000-0005-0000-0000-0000E1030000}"/>
    <cellStyle name="Note 2 4 2 3" xfId="953" xr:uid="{00000000-0005-0000-0000-0000E2030000}"/>
    <cellStyle name="Note 2 4 2 3 2" xfId="1744" xr:uid="{00000000-0005-0000-0000-0000E3030000}"/>
    <cellStyle name="Note 2 4 2 4" xfId="674" xr:uid="{00000000-0005-0000-0000-0000E4030000}"/>
    <cellStyle name="Note 2 4 2 4 2" xfId="1465" xr:uid="{00000000-0005-0000-0000-0000E5030000}"/>
    <cellStyle name="Note 2 4 2 5" xfId="1097" xr:uid="{00000000-0005-0000-0000-0000E6030000}"/>
    <cellStyle name="Note 2 4 2 5 2" xfId="1888" xr:uid="{00000000-0005-0000-0000-0000E7030000}"/>
    <cellStyle name="Note 2 4 2 6" xfId="1217" xr:uid="{00000000-0005-0000-0000-0000E8030000}"/>
    <cellStyle name="Note 2 4 2 6 2" xfId="2008" xr:uid="{00000000-0005-0000-0000-0000E9030000}"/>
    <cellStyle name="Note 2 4 2 7" xfId="1408" xr:uid="{00000000-0005-0000-0000-0000EA030000}"/>
    <cellStyle name="Note 2 4 3" xfId="752" xr:uid="{00000000-0005-0000-0000-0000EB030000}"/>
    <cellStyle name="Note 2 4 3 2" xfId="1543" xr:uid="{00000000-0005-0000-0000-0000EC030000}"/>
    <cellStyle name="Note 2 4 4" xfId="873" xr:uid="{00000000-0005-0000-0000-0000ED030000}"/>
    <cellStyle name="Note 2 4 4 2" xfId="1664" xr:uid="{00000000-0005-0000-0000-0000EE030000}"/>
    <cellStyle name="Note 2 4 5" xfId="708" xr:uid="{00000000-0005-0000-0000-0000EF030000}"/>
    <cellStyle name="Note 2 4 5 2" xfId="1499" xr:uid="{00000000-0005-0000-0000-0000F0030000}"/>
    <cellStyle name="Note 2 4 6" xfId="1017" xr:uid="{00000000-0005-0000-0000-0000F1030000}"/>
    <cellStyle name="Note 2 4 6 2" xfId="1808" xr:uid="{00000000-0005-0000-0000-0000F2030000}"/>
    <cellStyle name="Note 2 4 7" xfId="1137" xr:uid="{00000000-0005-0000-0000-0000F3030000}"/>
    <cellStyle name="Note 2 4 7 2" xfId="1928" xr:uid="{00000000-0005-0000-0000-0000F4030000}"/>
    <cellStyle name="Note 2 4 8" xfId="1328" xr:uid="{00000000-0005-0000-0000-0000F5030000}"/>
    <cellStyle name="Note 2 5" xfId="568" xr:uid="{00000000-0005-0000-0000-0000F6030000}"/>
    <cellStyle name="Note 2 5 2" xfId="784" xr:uid="{00000000-0005-0000-0000-0000F7030000}"/>
    <cellStyle name="Note 2 5 2 2" xfId="1575" xr:uid="{00000000-0005-0000-0000-0000F8030000}"/>
    <cellStyle name="Note 2 5 3" xfId="904" xr:uid="{00000000-0005-0000-0000-0000F9030000}"/>
    <cellStyle name="Note 2 5 3 2" xfId="1695" xr:uid="{00000000-0005-0000-0000-0000FA030000}"/>
    <cellStyle name="Note 2 5 4" xfId="982" xr:uid="{00000000-0005-0000-0000-0000FB030000}"/>
    <cellStyle name="Note 2 5 4 2" xfId="1773" xr:uid="{00000000-0005-0000-0000-0000FC030000}"/>
    <cellStyle name="Note 2 5 5" xfId="1048" xr:uid="{00000000-0005-0000-0000-0000FD030000}"/>
    <cellStyle name="Note 2 5 5 2" xfId="1839" xr:uid="{00000000-0005-0000-0000-0000FE030000}"/>
    <cellStyle name="Note 2 5 6" xfId="1168" xr:uid="{00000000-0005-0000-0000-0000FF030000}"/>
    <cellStyle name="Note 2 5 6 2" xfId="1959" xr:uid="{00000000-0005-0000-0000-000000040000}"/>
    <cellStyle name="Note 2 5 7" xfId="1359" xr:uid="{00000000-0005-0000-0000-000001040000}"/>
    <cellStyle name="Note 2 6" xfId="1277" xr:uid="{00000000-0005-0000-0000-000002040000}"/>
    <cellStyle name="Note 3" xfId="342" xr:uid="{00000000-0005-0000-0000-000003040000}"/>
    <cellStyle name="Note 3 2" xfId="479" xr:uid="{00000000-0005-0000-0000-000004040000}"/>
    <cellStyle name="Note 3 2 2" xfId="510" xr:uid="{00000000-0005-0000-0000-000005040000}"/>
    <cellStyle name="Note 3 2 2 2" xfId="540" xr:uid="{00000000-0005-0000-0000-000006040000}"/>
    <cellStyle name="Note 3 2 2 2 2" xfId="623" xr:uid="{00000000-0005-0000-0000-000007040000}"/>
    <cellStyle name="Note 3 2 2 2 2 2" xfId="839" xr:uid="{00000000-0005-0000-0000-000008040000}"/>
    <cellStyle name="Note 3 2 2 2 2 2 2" xfId="1630" xr:uid="{00000000-0005-0000-0000-000009040000}"/>
    <cellStyle name="Note 3 2 2 2 2 3" xfId="959" xr:uid="{00000000-0005-0000-0000-00000A040000}"/>
    <cellStyle name="Note 3 2 2 2 2 3 2" xfId="1750" xr:uid="{00000000-0005-0000-0000-00000B040000}"/>
    <cellStyle name="Note 3 2 2 2 2 4" xfId="654" xr:uid="{00000000-0005-0000-0000-00000C040000}"/>
    <cellStyle name="Note 3 2 2 2 2 4 2" xfId="1445" xr:uid="{00000000-0005-0000-0000-00000D040000}"/>
    <cellStyle name="Note 3 2 2 2 2 5" xfId="1103" xr:uid="{00000000-0005-0000-0000-00000E040000}"/>
    <cellStyle name="Note 3 2 2 2 2 5 2" xfId="1894" xr:uid="{00000000-0005-0000-0000-00000F040000}"/>
    <cellStyle name="Note 3 2 2 2 2 6" xfId="1223" xr:uid="{00000000-0005-0000-0000-000010040000}"/>
    <cellStyle name="Note 3 2 2 2 2 6 2" xfId="2014" xr:uid="{00000000-0005-0000-0000-000011040000}"/>
    <cellStyle name="Note 3 2 2 2 2 7" xfId="1414" xr:uid="{00000000-0005-0000-0000-000012040000}"/>
    <cellStyle name="Note 3 2 2 2 3" xfId="758" xr:uid="{00000000-0005-0000-0000-000013040000}"/>
    <cellStyle name="Note 3 2 2 2 3 2" xfId="1549" xr:uid="{00000000-0005-0000-0000-000014040000}"/>
    <cellStyle name="Note 3 2 2 2 4" xfId="879" xr:uid="{00000000-0005-0000-0000-000015040000}"/>
    <cellStyle name="Note 3 2 2 2 4 2" xfId="1670" xr:uid="{00000000-0005-0000-0000-000016040000}"/>
    <cellStyle name="Note 3 2 2 2 5" xfId="727" xr:uid="{00000000-0005-0000-0000-000017040000}"/>
    <cellStyle name="Note 3 2 2 2 5 2" xfId="1518" xr:uid="{00000000-0005-0000-0000-000018040000}"/>
    <cellStyle name="Note 3 2 2 2 6" xfId="1023" xr:uid="{00000000-0005-0000-0000-000019040000}"/>
    <cellStyle name="Note 3 2 2 2 6 2" xfId="1814" xr:uid="{00000000-0005-0000-0000-00001A040000}"/>
    <cellStyle name="Note 3 2 2 2 7" xfId="1143" xr:uid="{00000000-0005-0000-0000-00001B040000}"/>
    <cellStyle name="Note 3 2 2 2 7 2" xfId="1934" xr:uid="{00000000-0005-0000-0000-00001C040000}"/>
    <cellStyle name="Note 3 2 2 2 8" xfId="1334" xr:uid="{00000000-0005-0000-0000-00001D040000}"/>
    <cellStyle name="Note 3 2 2 3" xfId="593" xr:uid="{00000000-0005-0000-0000-00001E040000}"/>
    <cellStyle name="Note 3 2 2 3 2" xfId="809" xr:uid="{00000000-0005-0000-0000-00001F040000}"/>
    <cellStyle name="Note 3 2 2 3 2 2" xfId="1600" xr:uid="{00000000-0005-0000-0000-000020040000}"/>
    <cellStyle name="Note 3 2 2 3 3" xfId="929" xr:uid="{00000000-0005-0000-0000-000021040000}"/>
    <cellStyle name="Note 3 2 2 3 3 2" xfId="1720" xr:uid="{00000000-0005-0000-0000-000022040000}"/>
    <cellStyle name="Note 3 2 2 3 4" xfId="699" xr:uid="{00000000-0005-0000-0000-000023040000}"/>
    <cellStyle name="Note 3 2 2 3 4 2" xfId="1490" xr:uid="{00000000-0005-0000-0000-000024040000}"/>
    <cellStyle name="Note 3 2 2 3 5" xfId="1073" xr:uid="{00000000-0005-0000-0000-000025040000}"/>
    <cellStyle name="Note 3 2 2 3 5 2" xfId="1864" xr:uid="{00000000-0005-0000-0000-000026040000}"/>
    <cellStyle name="Note 3 2 2 3 6" xfId="1193" xr:uid="{00000000-0005-0000-0000-000027040000}"/>
    <cellStyle name="Note 3 2 2 3 6 2" xfId="1984" xr:uid="{00000000-0005-0000-0000-000028040000}"/>
    <cellStyle name="Note 3 2 2 3 7" xfId="1384" xr:uid="{00000000-0005-0000-0000-000029040000}"/>
    <cellStyle name="Note 3 2 2 4" xfId="1304" xr:uid="{00000000-0005-0000-0000-00002A040000}"/>
    <cellStyle name="Note 3 2 3" xfId="539" xr:uid="{00000000-0005-0000-0000-00002B040000}"/>
    <cellStyle name="Note 3 2 3 2" xfId="622" xr:uid="{00000000-0005-0000-0000-00002C040000}"/>
    <cellStyle name="Note 3 2 3 2 2" xfId="838" xr:uid="{00000000-0005-0000-0000-00002D040000}"/>
    <cellStyle name="Note 3 2 3 2 2 2" xfId="1629" xr:uid="{00000000-0005-0000-0000-00002E040000}"/>
    <cellStyle name="Note 3 2 3 2 3" xfId="958" xr:uid="{00000000-0005-0000-0000-00002F040000}"/>
    <cellStyle name="Note 3 2 3 2 3 2" xfId="1749" xr:uid="{00000000-0005-0000-0000-000030040000}"/>
    <cellStyle name="Note 3 2 3 2 4" xfId="726" xr:uid="{00000000-0005-0000-0000-000031040000}"/>
    <cellStyle name="Note 3 2 3 2 4 2" xfId="1517" xr:uid="{00000000-0005-0000-0000-000032040000}"/>
    <cellStyle name="Note 3 2 3 2 5" xfId="1102" xr:uid="{00000000-0005-0000-0000-000033040000}"/>
    <cellStyle name="Note 3 2 3 2 5 2" xfId="1893" xr:uid="{00000000-0005-0000-0000-000034040000}"/>
    <cellStyle name="Note 3 2 3 2 6" xfId="1222" xr:uid="{00000000-0005-0000-0000-000035040000}"/>
    <cellStyle name="Note 3 2 3 2 6 2" xfId="2013" xr:uid="{00000000-0005-0000-0000-000036040000}"/>
    <cellStyle name="Note 3 2 3 2 7" xfId="1413" xr:uid="{00000000-0005-0000-0000-000037040000}"/>
    <cellStyle name="Note 3 2 3 3" xfId="757" xr:uid="{00000000-0005-0000-0000-000038040000}"/>
    <cellStyle name="Note 3 2 3 3 2" xfId="1548" xr:uid="{00000000-0005-0000-0000-000039040000}"/>
    <cellStyle name="Note 3 2 3 4" xfId="878" xr:uid="{00000000-0005-0000-0000-00003A040000}"/>
    <cellStyle name="Note 3 2 3 4 2" xfId="1669" xr:uid="{00000000-0005-0000-0000-00003B040000}"/>
    <cellStyle name="Note 3 2 3 5" xfId="696" xr:uid="{00000000-0005-0000-0000-00003C040000}"/>
    <cellStyle name="Note 3 2 3 5 2" xfId="1487" xr:uid="{00000000-0005-0000-0000-00003D040000}"/>
    <cellStyle name="Note 3 2 3 6" xfId="1022" xr:uid="{00000000-0005-0000-0000-00003E040000}"/>
    <cellStyle name="Note 3 2 3 6 2" xfId="1813" xr:uid="{00000000-0005-0000-0000-00003F040000}"/>
    <cellStyle name="Note 3 2 3 7" xfId="1142" xr:uid="{00000000-0005-0000-0000-000040040000}"/>
    <cellStyle name="Note 3 2 3 7 2" xfId="1933" xr:uid="{00000000-0005-0000-0000-000041040000}"/>
    <cellStyle name="Note 3 2 3 8" xfId="1333" xr:uid="{00000000-0005-0000-0000-000042040000}"/>
    <cellStyle name="Note 3 2 4" xfId="573" xr:uid="{00000000-0005-0000-0000-000043040000}"/>
    <cellStyle name="Note 3 2 4 2" xfId="789" xr:uid="{00000000-0005-0000-0000-000044040000}"/>
    <cellStyle name="Note 3 2 4 2 2" xfId="1580" xr:uid="{00000000-0005-0000-0000-000045040000}"/>
    <cellStyle name="Note 3 2 4 3" xfId="909" xr:uid="{00000000-0005-0000-0000-000046040000}"/>
    <cellStyle name="Note 3 2 4 3 2" xfId="1700" xr:uid="{00000000-0005-0000-0000-000047040000}"/>
    <cellStyle name="Note 3 2 4 4" xfId="991" xr:uid="{00000000-0005-0000-0000-000048040000}"/>
    <cellStyle name="Note 3 2 4 4 2" xfId="1782" xr:uid="{00000000-0005-0000-0000-000049040000}"/>
    <cellStyle name="Note 3 2 4 5" xfId="1053" xr:uid="{00000000-0005-0000-0000-00004A040000}"/>
    <cellStyle name="Note 3 2 4 5 2" xfId="1844" xr:uid="{00000000-0005-0000-0000-00004B040000}"/>
    <cellStyle name="Note 3 2 4 6" xfId="1173" xr:uid="{00000000-0005-0000-0000-00004C040000}"/>
    <cellStyle name="Note 3 2 4 6 2" xfId="1964" xr:uid="{00000000-0005-0000-0000-00004D040000}"/>
    <cellStyle name="Note 3 2 4 7" xfId="1364" xr:uid="{00000000-0005-0000-0000-00004E040000}"/>
    <cellStyle name="Note 3 2 5" xfId="1284" xr:uid="{00000000-0005-0000-0000-00004F040000}"/>
    <cellStyle name="Note 3 3" xfId="498" xr:uid="{00000000-0005-0000-0000-000050040000}"/>
    <cellStyle name="Note 3 3 2" xfId="541" xr:uid="{00000000-0005-0000-0000-000051040000}"/>
    <cellStyle name="Note 3 3 2 2" xfId="624" xr:uid="{00000000-0005-0000-0000-000052040000}"/>
    <cellStyle name="Note 3 3 2 2 2" xfId="840" xr:uid="{00000000-0005-0000-0000-000053040000}"/>
    <cellStyle name="Note 3 3 2 2 2 2" xfId="1631" xr:uid="{00000000-0005-0000-0000-000054040000}"/>
    <cellStyle name="Note 3 3 2 2 3" xfId="960" xr:uid="{00000000-0005-0000-0000-000055040000}"/>
    <cellStyle name="Note 3 3 2 2 3 2" xfId="1751" xr:uid="{00000000-0005-0000-0000-000056040000}"/>
    <cellStyle name="Note 3 3 2 2 4" xfId="675" xr:uid="{00000000-0005-0000-0000-000057040000}"/>
    <cellStyle name="Note 3 3 2 2 4 2" xfId="1466" xr:uid="{00000000-0005-0000-0000-000058040000}"/>
    <cellStyle name="Note 3 3 2 2 5" xfId="1104" xr:uid="{00000000-0005-0000-0000-000059040000}"/>
    <cellStyle name="Note 3 3 2 2 5 2" xfId="1895" xr:uid="{00000000-0005-0000-0000-00005A040000}"/>
    <cellStyle name="Note 3 3 2 2 6" xfId="1224" xr:uid="{00000000-0005-0000-0000-00005B040000}"/>
    <cellStyle name="Note 3 3 2 2 6 2" xfId="2015" xr:uid="{00000000-0005-0000-0000-00005C040000}"/>
    <cellStyle name="Note 3 3 2 2 7" xfId="1415" xr:uid="{00000000-0005-0000-0000-00005D040000}"/>
    <cellStyle name="Note 3 3 2 3" xfId="759" xr:uid="{00000000-0005-0000-0000-00005E040000}"/>
    <cellStyle name="Note 3 3 2 3 2" xfId="1550" xr:uid="{00000000-0005-0000-0000-00005F040000}"/>
    <cellStyle name="Note 3 3 2 4" xfId="880" xr:uid="{00000000-0005-0000-0000-000060040000}"/>
    <cellStyle name="Note 3 3 2 4 2" xfId="1671" xr:uid="{00000000-0005-0000-0000-000061040000}"/>
    <cellStyle name="Note 3 3 2 5" xfId="733" xr:uid="{00000000-0005-0000-0000-000062040000}"/>
    <cellStyle name="Note 3 3 2 5 2" xfId="1524" xr:uid="{00000000-0005-0000-0000-000063040000}"/>
    <cellStyle name="Note 3 3 2 6" xfId="1024" xr:uid="{00000000-0005-0000-0000-000064040000}"/>
    <cellStyle name="Note 3 3 2 6 2" xfId="1815" xr:uid="{00000000-0005-0000-0000-000065040000}"/>
    <cellStyle name="Note 3 3 2 7" xfId="1144" xr:uid="{00000000-0005-0000-0000-000066040000}"/>
    <cellStyle name="Note 3 3 2 7 2" xfId="1935" xr:uid="{00000000-0005-0000-0000-000067040000}"/>
    <cellStyle name="Note 3 3 2 8" xfId="1335" xr:uid="{00000000-0005-0000-0000-000068040000}"/>
    <cellStyle name="Note 3 3 3" xfId="583" xr:uid="{00000000-0005-0000-0000-000069040000}"/>
    <cellStyle name="Note 3 3 3 2" xfId="799" xr:uid="{00000000-0005-0000-0000-00006A040000}"/>
    <cellStyle name="Note 3 3 3 2 2" xfId="1590" xr:uid="{00000000-0005-0000-0000-00006B040000}"/>
    <cellStyle name="Note 3 3 3 3" xfId="919" xr:uid="{00000000-0005-0000-0000-00006C040000}"/>
    <cellStyle name="Note 3 3 3 3 2" xfId="1710" xr:uid="{00000000-0005-0000-0000-00006D040000}"/>
    <cellStyle name="Note 3 3 3 4" xfId="993" xr:uid="{00000000-0005-0000-0000-00006E040000}"/>
    <cellStyle name="Note 3 3 3 4 2" xfId="1784" xr:uid="{00000000-0005-0000-0000-00006F040000}"/>
    <cellStyle name="Note 3 3 3 5" xfId="1063" xr:uid="{00000000-0005-0000-0000-000070040000}"/>
    <cellStyle name="Note 3 3 3 5 2" xfId="1854" xr:uid="{00000000-0005-0000-0000-000071040000}"/>
    <cellStyle name="Note 3 3 3 6" xfId="1183" xr:uid="{00000000-0005-0000-0000-000072040000}"/>
    <cellStyle name="Note 3 3 3 6 2" xfId="1974" xr:uid="{00000000-0005-0000-0000-000073040000}"/>
    <cellStyle name="Note 3 3 3 7" xfId="1374" xr:uid="{00000000-0005-0000-0000-000074040000}"/>
    <cellStyle name="Note 3 3 4" xfId="1294" xr:uid="{00000000-0005-0000-0000-000075040000}"/>
    <cellStyle name="Note 3 4" xfId="538" xr:uid="{00000000-0005-0000-0000-000076040000}"/>
    <cellStyle name="Note 3 4 2" xfId="621" xr:uid="{00000000-0005-0000-0000-000077040000}"/>
    <cellStyle name="Note 3 4 2 2" xfId="837" xr:uid="{00000000-0005-0000-0000-000078040000}"/>
    <cellStyle name="Note 3 4 2 2 2" xfId="1628" xr:uid="{00000000-0005-0000-0000-000079040000}"/>
    <cellStyle name="Note 3 4 2 3" xfId="957" xr:uid="{00000000-0005-0000-0000-00007A040000}"/>
    <cellStyle name="Note 3 4 2 3 2" xfId="1748" xr:uid="{00000000-0005-0000-0000-00007B040000}"/>
    <cellStyle name="Note 3 4 2 4" xfId="672" xr:uid="{00000000-0005-0000-0000-00007C040000}"/>
    <cellStyle name="Note 3 4 2 4 2" xfId="1463" xr:uid="{00000000-0005-0000-0000-00007D040000}"/>
    <cellStyle name="Note 3 4 2 5" xfId="1101" xr:uid="{00000000-0005-0000-0000-00007E040000}"/>
    <cellStyle name="Note 3 4 2 5 2" xfId="1892" xr:uid="{00000000-0005-0000-0000-00007F040000}"/>
    <cellStyle name="Note 3 4 2 6" xfId="1221" xr:uid="{00000000-0005-0000-0000-000080040000}"/>
    <cellStyle name="Note 3 4 2 6 2" xfId="2012" xr:uid="{00000000-0005-0000-0000-000081040000}"/>
    <cellStyle name="Note 3 4 2 7" xfId="1412" xr:uid="{00000000-0005-0000-0000-000082040000}"/>
    <cellStyle name="Note 3 4 3" xfId="756" xr:uid="{00000000-0005-0000-0000-000083040000}"/>
    <cellStyle name="Note 3 4 3 2" xfId="1547" xr:uid="{00000000-0005-0000-0000-000084040000}"/>
    <cellStyle name="Note 3 4 4" xfId="877" xr:uid="{00000000-0005-0000-0000-000085040000}"/>
    <cellStyle name="Note 3 4 4 2" xfId="1668" xr:uid="{00000000-0005-0000-0000-000086040000}"/>
    <cellStyle name="Note 3 4 5" xfId="705" xr:uid="{00000000-0005-0000-0000-000087040000}"/>
    <cellStyle name="Note 3 4 5 2" xfId="1496" xr:uid="{00000000-0005-0000-0000-000088040000}"/>
    <cellStyle name="Note 3 4 6" xfId="1021" xr:uid="{00000000-0005-0000-0000-000089040000}"/>
    <cellStyle name="Note 3 4 6 2" xfId="1812" xr:uid="{00000000-0005-0000-0000-00008A040000}"/>
    <cellStyle name="Note 3 4 7" xfId="1141" xr:uid="{00000000-0005-0000-0000-00008B040000}"/>
    <cellStyle name="Note 3 4 7 2" xfId="1932" xr:uid="{00000000-0005-0000-0000-00008C040000}"/>
    <cellStyle name="Note 3 4 8" xfId="1332" xr:uid="{00000000-0005-0000-0000-00008D040000}"/>
    <cellStyle name="Note 3 5" xfId="563" xr:uid="{00000000-0005-0000-0000-00008E040000}"/>
    <cellStyle name="Note 3 5 2" xfId="779" xr:uid="{00000000-0005-0000-0000-00008F040000}"/>
    <cellStyle name="Note 3 5 2 2" xfId="1570" xr:uid="{00000000-0005-0000-0000-000090040000}"/>
    <cellStyle name="Note 3 5 3" xfId="899" xr:uid="{00000000-0005-0000-0000-000091040000}"/>
    <cellStyle name="Note 3 5 3 2" xfId="1690" xr:uid="{00000000-0005-0000-0000-000092040000}"/>
    <cellStyle name="Note 3 5 4" xfId="986" xr:uid="{00000000-0005-0000-0000-000093040000}"/>
    <cellStyle name="Note 3 5 4 2" xfId="1777" xr:uid="{00000000-0005-0000-0000-000094040000}"/>
    <cellStyle name="Note 3 5 5" xfId="1043" xr:uid="{00000000-0005-0000-0000-000095040000}"/>
    <cellStyle name="Note 3 5 5 2" xfId="1834" xr:uid="{00000000-0005-0000-0000-000096040000}"/>
    <cellStyle name="Note 3 5 6" xfId="1163" xr:uid="{00000000-0005-0000-0000-000097040000}"/>
    <cellStyle name="Note 3 5 6 2" xfId="1954" xr:uid="{00000000-0005-0000-0000-000098040000}"/>
    <cellStyle name="Note 3 5 7" xfId="1354" xr:uid="{00000000-0005-0000-0000-000099040000}"/>
    <cellStyle name="Note 3 6" xfId="1272" xr:uid="{00000000-0005-0000-0000-00009A040000}"/>
    <cellStyle name="Output 2" xfId="365" xr:uid="{00000000-0005-0000-0000-00009B040000}"/>
    <cellStyle name="Output 2 2" xfId="481" xr:uid="{00000000-0005-0000-0000-00009C040000}"/>
    <cellStyle name="Output 2 2 2" xfId="512" xr:uid="{00000000-0005-0000-0000-00009D040000}"/>
    <cellStyle name="Output 2 2 2 2" xfId="544" xr:uid="{00000000-0005-0000-0000-00009E040000}"/>
    <cellStyle name="Output 2 2 2 2 2" xfId="627" xr:uid="{00000000-0005-0000-0000-00009F040000}"/>
    <cellStyle name="Output 2 2 2 2 2 2" xfId="843" xr:uid="{00000000-0005-0000-0000-0000A0040000}"/>
    <cellStyle name="Output 2 2 2 2 2 2 2" xfId="1634" xr:uid="{00000000-0005-0000-0000-0000A1040000}"/>
    <cellStyle name="Output 2 2 2 2 2 3" xfId="963" xr:uid="{00000000-0005-0000-0000-0000A2040000}"/>
    <cellStyle name="Output 2 2 2 2 2 3 2" xfId="1754" xr:uid="{00000000-0005-0000-0000-0000A3040000}"/>
    <cellStyle name="Output 2 2 2 2 2 4" xfId="665" xr:uid="{00000000-0005-0000-0000-0000A4040000}"/>
    <cellStyle name="Output 2 2 2 2 2 4 2" xfId="1456" xr:uid="{00000000-0005-0000-0000-0000A5040000}"/>
    <cellStyle name="Output 2 2 2 2 2 5" xfId="1107" xr:uid="{00000000-0005-0000-0000-0000A6040000}"/>
    <cellStyle name="Output 2 2 2 2 2 5 2" xfId="1898" xr:uid="{00000000-0005-0000-0000-0000A7040000}"/>
    <cellStyle name="Output 2 2 2 2 2 6" xfId="1227" xr:uid="{00000000-0005-0000-0000-0000A8040000}"/>
    <cellStyle name="Output 2 2 2 2 2 6 2" xfId="2018" xr:uid="{00000000-0005-0000-0000-0000A9040000}"/>
    <cellStyle name="Output 2 2 2 2 2 7" xfId="1418" xr:uid="{00000000-0005-0000-0000-0000AA040000}"/>
    <cellStyle name="Output 2 2 2 2 3" xfId="762" xr:uid="{00000000-0005-0000-0000-0000AB040000}"/>
    <cellStyle name="Output 2 2 2 2 3 2" xfId="1553" xr:uid="{00000000-0005-0000-0000-0000AC040000}"/>
    <cellStyle name="Output 2 2 2 2 4" xfId="883" xr:uid="{00000000-0005-0000-0000-0000AD040000}"/>
    <cellStyle name="Output 2 2 2 2 4 2" xfId="1674" xr:uid="{00000000-0005-0000-0000-0000AE040000}"/>
    <cellStyle name="Output 2 2 2 2 5" xfId="678" xr:uid="{00000000-0005-0000-0000-0000AF040000}"/>
    <cellStyle name="Output 2 2 2 2 5 2" xfId="1469" xr:uid="{00000000-0005-0000-0000-0000B0040000}"/>
    <cellStyle name="Output 2 2 2 2 6" xfId="1027" xr:uid="{00000000-0005-0000-0000-0000B1040000}"/>
    <cellStyle name="Output 2 2 2 2 6 2" xfId="1818" xr:uid="{00000000-0005-0000-0000-0000B2040000}"/>
    <cellStyle name="Output 2 2 2 2 7" xfId="1147" xr:uid="{00000000-0005-0000-0000-0000B3040000}"/>
    <cellStyle name="Output 2 2 2 2 7 2" xfId="1938" xr:uid="{00000000-0005-0000-0000-0000B4040000}"/>
    <cellStyle name="Output 2 2 2 2 8" xfId="1338" xr:uid="{00000000-0005-0000-0000-0000B5040000}"/>
    <cellStyle name="Output 2 2 2 3" xfId="595" xr:uid="{00000000-0005-0000-0000-0000B6040000}"/>
    <cellStyle name="Output 2 2 2 3 2" xfId="811" xr:uid="{00000000-0005-0000-0000-0000B7040000}"/>
    <cellStyle name="Output 2 2 2 3 2 2" xfId="1602" xr:uid="{00000000-0005-0000-0000-0000B8040000}"/>
    <cellStyle name="Output 2 2 2 3 3" xfId="931" xr:uid="{00000000-0005-0000-0000-0000B9040000}"/>
    <cellStyle name="Output 2 2 2 3 3 2" xfId="1722" xr:uid="{00000000-0005-0000-0000-0000BA040000}"/>
    <cellStyle name="Output 2 2 2 3 4" xfId="732" xr:uid="{00000000-0005-0000-0000-0000BB040000}"/>
    <cellStyle name="Output 2 2 2 3 4 2" xfId="1523" xr:uid="{00000000-0005-0000-0000-0000BC040000}"/>
    <cellStyle name="Output 2 2 2 3 5" xfId="1075" xr:uid="{00000000-0005-0000-0000-0000BD040000}"/>
    <cellStyle name="Output 2 2 2 3 5 2" xfId="1866" xr:uid="{00000000-0005-0000-0000-0000BE040000}"/>
    <cellStyle name="Output 2 2 2 3 6" xfId="1195" xr:uid="{00000000-0005-0000-0000-0000BF040000}"/>
    <cellStyle name="Output 2 2 2 3 6 2" xfId="1986" xr:uid="{00000000-0005-0000-0000-0000C0040000}"/>
    <cellStyle name="Output 2 2 2 3 7" xfId="1386" xr:uid="{00000000-0005-0000-0000-0000C1040000}"/>
    <cellStyle name="Output 2 2 2 4" xfId="1306" xr:uid="{00000000-0005-0000-0000-0000C2040000}"/>
    <cellStyle name="Output 2 2 3" xfId="543" xr:uid="{00000000-0005-0000-0000-0000C3040000}"/>
    <cellStyle name="Output 2 2 3 2" xfId="626" xr:uid="{00000000-0005-0000-0000-0000C4040000}"/>
    <cellStyle name="Output 2 2 3 2 2" xfId="842" xr:uid="{00000000-0005-0000-0000-0000C5040000}"/>
    <cellStyle name="Output 2 2 3 2 2 2" xfId="1633" xr:uid="{00000000-0005-0000-0000-0000C6040000}"/>
    <cellStyle name="Output 2 2 3 2 3" xfId="962" xr:uid="{00000000-0005-0000-0000-0000C7040000}"/>
    <cellStyle name="Output 2 2 3 2 3 2" xfId="1753" xr:uid="{00000000-0005-0000-0000-0000C8040000}"/>
    <cellStyle name="Output 2 2 3 2 4" xfId="661" xr:uid="{00000000-0005-0000-0000-0000C9040000}"/>
    <cellStyle name="Output 2 2 3 2 4 2" xfId="1452" xr:uid="{00000000-0005-0000-0000-0000CA040000}"/>
    <cellStyle name="Output 2 2 3 2 5" xfId="1106" xr:uid="{00000000-0005-0000-0000-0000CB040000}"/>
    <cellStyle name="Output 2 2 3 2 5 2" xfId="1897" xr:uid="{00000000-0005-0000-0000-0000CC040000}"/>
    <cellStyle name="Output 2 2 3 2 6" xfId="1226" xr:uid="{00000000-0005-0000-0000-0000CD040000}"/>
    <cellStyle name="Output 2 2 3 2 6 2" xfId="2017" xr:uid="{00000000-0005-0000-0000-0000CE040000}"/>
    <cellStyle name="Output 2 2 3 2 7" xfId="1417" xr:uid="{00000000-0005-0000-0000-0000CF040000}"/>
    <cellStyle name="Output 2 2 3 3" xfId="761" xr:uid="{00000000-0005-0000-0000-0000D0040000}"/>
    <cellStyle name="Output 2 2 3 3 2" xfId="1552" xr:uid="{00000000-0005-0000-0000-0000D1040000}"/>
    <cellStyle name="Output 2 2 3 4" xfId="882" xr:uid="{00000000-0005-0000-0000-0000D2040000}"/>
    <cellStyle name="Output 2 2 3 4 2" xfId="1673" xr:uid="{00000000-0005-0000-0000-0000D3040000}"/>
    <cellStyle name="Output 2 2 3 5" xfId="680" xr:uid="{00000000-0005-0000-0000-0000D4040000}"/>
    <cellStyle name="Output 2 2 3 5 2" xfId="1471" xr:uid="{00000000-0005-0000-0000-0000D5040000}"/>
    <cellStyle name="Output 2 2 3 6" xfId="1026" xr:uid="{00000000-0005-0000-0000-0000D6040000}"/>
    <cellStyle name="Output 2 2 3 6 2" xfId="1817" xr:uid="{00000000-0005-0000-0000-0000D7040000}"/>
    <cellStyle name="Output 2 2 3 7" xfId="1146" xr:uid="{00000000-0005-0000-0000-0000D8040000}"/>
    <cellStyle name="Output 2 2 3 7 2" xfId="1937" xr:uid="{00000000-0005-0000-0000-0000D9040000}"/>
    <cellStyle name="Output 2 2 3 8" xfId="1337" xr:uid="{00000000-0005-0000-0000-0000DA040000}"/>
    <cellStyle name="Output 2 2 4" xfId="575" xr:uid="{00000000-0005-0000-0000-0000DB040000}"/>
    <cellStyle name="Output 2 2 4 2" xfId="791" xr:uid="{00000000-0005-0000-0000-0000DC040000}"/>
    <cellStyle name="Output 2 2 4 2 2" xfId="1582" xr:uid="{00000000-0005-0000-0000-0000DD040000}"/>
    <cellStyle name="Output 2 2 4 3" xfId="911" xr:uid="{00000000-0005-0000-0000-0000DE040000}"/>
    <cellStyle name="Output 2 2 4 3 2" xfId="1702" xr:uid="{00000000-0005-0000-0000-0000DF040000}"/>
    <cellStyle name="Output 2 2 4 4" xfId="988" xr:uid="{00000000-0005-0000-0000-0000E0040000}"/>
    <cellStyle name="Output 2 2 4 4 2" xfId="1779" xr:uid="{00000000-0005-0000-0000-0000E1040000}"/>
    <cellStyle name="Output 2 2 4 5" xfId="1055" xr:uid="{00000000-0005-0000-0000-0000E2040000}"/>
    <cellStyle name="Output 2 2 4 5 2" xfId="1846" xr:uid="{00000000-0005-0000-0000-0000E3040000}"/>
    <cellStyle name="Output 2 2 4 6" xfId="1175" xr:uid="{00000000-0005-0000-0000-0000E4040000}"/>
    <cellStyle name="Output 2 2 4 6 2" xfId="1966" xr:uid="{00000000-0005-0000-0000-0000E5040000}"/>
    <cellStyle name="Output 2 2 4 7" xfId="1366" xr:uid="{00000000-0005-0000-0000-0000E6040000}"/>
    <cellStyle name="Output 2 2 5" xfId="1286" xr:uid="{00000000-0005-0000-0000-0000E7040000}"/>
    <cellStyle name="Output 2 3" xfId="500" xr:uid="{00000000-0005-0000-0000-0000E8040000}"/>
    <cellStyle name="Output 2 3 2" xfId="545" xr:uid="{00000000-0005-0000-0000-0000E9040000}"/>
    <cellStyle name="Output 2 3 2 2" xfId="628" xr:uid="{00000000-0005-0000-0000-0000EA040000}"/>
    <cellStyle name="Output 2 3 2 2 2" xfId="844" xr:uid="{00000000-0005-0000-0000-0000EB040000}"/>
    <cellStyle name="Output 2 3 2 2 2 2" xfId="1635" xr:uid="{00000000-0005-0000-0000-0000EC040000}"/>
    <cellStyle name="Output 2 3 2 2 3" xfId="964" xr:uid="{00000000-0005-0000-0000-0000ED040000}"/>
    <cellStyle name="Output 2 3 2 2 3 2" xfId="1755" xr:uid="{00000000-0005-0000-0000-0000EE040000}"/>
    <cellStyle name="Output 2 3 2 2 4" xfId="688" xr:uid="{00000000-0005-0000-0000-0000EF040000}"/>
    <cellStyle name="Output 2 3 2 2 4 2" xfId="1479" xr:uid="{00000000-0005-0000-0000-0000F0040000}"/>
    <cellStyle name="Output 2 3 2 2 5" xfId="1108" xr:uid="{00000000-0005-0000-0000-0000F1040000}"/>
    <cellStyle name="Output 2 3 2 2 5 2" xfId="1899" xr:uid="{00000000-0005-0000-0000-0000F2040000}"/>
    <cellStyle name="Output 2 3 2 2 6" xfId="1228" xr:uid="{00000000-0005-0000-0000-0000F3040000}"/>
    <cellStyle name="Output 2 3 2 2 6 2" xfId="2019" xr:uid="{00000000-0005-0000-0000-0000F4040000}"/>
    <cellStyle name="Output 2 3 2 2 7" xfId="1419" xr:uid="{00000000-0005-0000-0000-0000F5040000}"/>
    <cellStyle name="Output 2 3 2 3" xfId="763" xr:uid="{00000000-0005-0000-0000-0000F6040000}"/>
    <cellStyle name="Output 2 3 2 3 2" xfId="1554" xr:uid="{00000000-0005-0000-0000-0000F7040000}"/>
    <cellStyle name="Output 2 3 2 4" xfId="884" xr:uid="{00000000-0005-0000-0000-0000F8040000}"/>
    <cellStyle name="Output 2 3 2 4 2" xfId="1675" xr:uid="{00000000-0005-0000-0000-0000F9040000}"/>
    <cellStyle name="Output 2 3 2 5" xfId="693" xr:uid="{00000000-0005-0000-0000-0000FA040000}"/>
    <cellStyle name="Output 2 3 2 5 2" xfId="1484" xr:uid="{00000000-0005-0000-0000-0000FB040000}"/>
    <cellStyle name="Output 2 3 2 6" xfId="1028" xr:uid="{00000000-0005-0000-0000-0000FC040000}"/>
    <cellStyle name="Output 2 3 2 6 2" xfId="1819" xr:uid="{00000000-0005-0000-0000-0000FD040000}"/>
    <cellStyle name="Output 2 3 2 7" xfId="1148" xr:uid="{00000000-0005-0000-0000-0000FE040000}"/>
    <cellStyle name="Output 2 3 2 7 2" xfId="1939" xr:uid="{00000000-0005-0000-0000-0000FF040000}"/>
    <cellStyle name="Output 2 3 2 8" xfId="1339" xr:uid="{00000000-0005-0000-0000-000000050000}"/>
    <cellStyle name="Output 2 3 3" xfId="585" xr:uid="{00000000-0005-0000-0000-000001050000}"/>
    <cellStyle name="Output 2 3 3 2" xfId="801" xr:uid="{00000000-0005-0000-0000-000002050000}"/>
    <cellStyle name="Output 2 3 3 2 2" xfId="1592" xr:uid="{00000000-0005-0000-0000-000003050000}"/>
    <cellStyle name="Output 2 3 3 3" xfId="921" xr:uid="{00000000-0005-0000-0000-000004050000}"/>
    <cellStyle name="Output 2 3 3 3 2" xfId="1712" xr:uid="{00000000-0005-0000-0000-000005050000}"/>
    <cellStyle name="Output 2 3 3 4" xfId="643" xr:uid="{00000000-0005-0000-0000-000006050000}"/>
    <cellStyle name="Output 2 3 3 4 2" xfId="1434" xr:uid="{00000000-0005-0000-0000-000007050000}"/>
    <cellStyle name="Output 2 3 3 5" xfId="1065" xr:uid="{00000000-0005-0000-0000-000008050000}"/>
    <cellStyle name="Output 2 3 3 5 2" xfId="1856" xr:uid="{00000000-0005-0000-0000-000009050000}"/>
    <cellStyle name="Output 2 3 3 6" xfId="1185" xr:uid="{00000000-0005-0000-0000-00000A050000}"/>
    <cellStyle name="Output 2 3 3 6 2" xfId="1976" xr:uid="{00000000-0005-0000-0000-00000B050000}"/>
    <cellStyle name="Output 2 3 3 7" xfId="1376" xr:uid="{00000000-0005-0000-0000-00000C050000}"/>
    <cellStyle name="Output 2 3 4" xfId="1296" xr:uid="{00000000-0005-0000-0000-00000D050000}"/>
    <cellStyle name="Output 2 4" xfId="542" xr:uid="{00000000-0005-0000-0000-00000E050000}"/>
    <cellStyle name="Output 2 4 2" xfId="625" xr:uid="{00000000-0005-0000-0000-00000F050000}"/>
    <cellStyle name="Output 2 4 2 2" xfId="841" xr:uid="{00000000-0005-0000-0000-000010050000}"/>
    <cellStyle name="Output 2 4 2 2 2" xfId="1632" xr:uid="{00000000-0005-0000-0000-000011050000}"/>
    <cellStyle name="Output 2 4 2 3" xfId="961" xr:uid="{00000000-0005-0000-0000-000012050000}"/>
    <cellStyle name="Output 2 4 2 3 2" xfId="1752" xr:uid="{00000000-0005-0000-0000-000013050000}"/>
    <cellStyle name="Output 2 4 2 4" xfId="685" xr:uid="{00000000-0005-0000-0000-000014050000}"/>
    <cellStyle name="Output 2 4 2 4 2" xfId="1476" xr:uid="{00000000-0005-0000-0000-000015050000}"/>
    <cellStyle name="Output 2 4 2 5" xfId="1105" xr:uid="{00000000-0005-0000-0000-000016050000}"/>
    <cellStyle name="Output 2 4 2 5 2" xfId="1896" xr:uid="{00000000-0005-0000-0000-000017050000}"/>
    <cellStyle name="Output 2 4 2 6" xfId="1225" xr:uid="{00000000-0005-0000-0000-000018050000}"/>
    <cellStyle name="Output 2 4 2 6 2" xfId="2016" xr:uid="{00000000-0005-0000-0000-000019050000}"/>
    <cellStyle name="Output 2 4 2 7" xfId="1416" xr:uid="{00000000-0005-0000-0000-00001A050000}"/>
    <cellStyle name="Output 2 4 3" xfId="760" xr:uid="{00000000-0005-0000-0000-00001B050000}"/>
    <cellStyle name="Output 2 4 3 2" xfId="1551" xr:uid="{00000000-0005-0000-0000-00001C050000}"/>
    <cellStyle name="Output 2 4 4" xfId="881" xr:uid="{00000000-0005-0000-0000-00001D050000}"/>
    <cellStyle name="Output 2 4 4 2" xfId="1672" xr:uid="{00000000-0005-0000-0000-00001E050000}"/>
    <cellStyle name="Output 2 4 5" xfId="692" xr:uid="{00000000-0005-0000-0000-00001F050000}"/>
    <cellStyle name="Output 2 4 5 2" xfId="1483" xr:uid="{00000000-0005-0000-0000-000020050000}"/>
    <cellStyle name="Output 2 4 6" xfId="1025" xr:uid="{00000000-0005-0000-0000-000021050000}"/>
    <cellStyle name="Output 2 4 6 2" xfId="1816" xr:uid="{00000000-0005-0000-0000-000022050000}"/>
    <cellStyle name="Output 2 4 7" xfId="1145" xr:uid="{00000000-0005-0000-0000-000023050000}"/>
    <cellStyle name="Output 2 4 7 2" xfId="1936" xr:uid="{00000000-0005-0000-0000-000024050000}"/>
    <cellStyle name="Output 2 4 8" xfId="1336" xr:uid="{00000000-0005-0000-0000-000025050000}"/>
    <cellStyle name="Output 2 5" xfId="565" xr:uid="{00000000-0005-0000-0000-000026050000}"/>
    <cellStyle name="Output 2 5 2" xfId="781" xr:uid="{00000000-0005-0000-0000-000027050000}"/>
    <cellStyle name="Output 2 5 2 2" xfId="1572" xr:uid="{00000000-0005-0000-0000-000028050000}"/>
    <cellStyle name="Output 2 5 3" xfId="901" xr:uid="{00000000-0005-0000-0000-000029050000}"/>
    <cellStyle name="Output 2 5 3 2" xfId="1692" xr:uid="{00000000-0005-0000-0000-00002A050000}"/>
    <cellStyle name="Output 2 5 4" xfId="981" xr:uid="{00000000-0005-0000-0000-00002B050000}"/>
    <cellStyle name="Output 2 5 4 2" xfId="1772" xr:uid="{00000000-0005-0000-0000-00002C050000}"/>
    <cellStyle name="Output 2 5 5" xfId="1045" xr:uid="{00000000-0005-0000-0000-00002D050000}"/>
    <cellStyle name="Output 2 5 5 2" xfId="1836" xr:uid="{00000000-0005-0000-0000-00002E050000}"/>
    <cellStyle name="Output 2 5 6" xfId="1165" xr:uid="{00000000-0005-0000-0000-00002F050000}"/>
    <cellStyle name="Output 2 5 6 2" xfId="1956" xr:uid="{00000000-0005-0000-0000-000030050000}"/>
    <cellStyle name="Output 2 5 7" xfId="1356" xr:uid="{00000000-0005-0000-0000-000031050000}"/>
    <cellStyle name="Output 2 6" xfId="1274" xr:uid="{00000000-0005-0000-0000-000032050000}"/>
    <cellStyle name="Output 3" xfId="390" xr:uid="{00000000-0005-0000-0000-000033050000}"/>
    <cellStyle name="Output 3 2" xfId="482" xr:uid="{00000000-0005-0000-0000-000034050000}"/>
    <cellStyle name="Output 3 2 2" xfId="513" xr:uid="{00000000-0005-0000-0000-000035050000}"/>
    <cellStyle name="Output 3 2 2 2" xfId="548" xr:uid="{00000000-0005-0000-0000-000036050000}"/>
    <cellStyle name="Output 3 2 2 2 2" xfId="631" xr:uid="{00000000-0005-0000-0000-000037050000}"/>
    <cellStyle name="Output 3 2 2 2 2 2" xfId="847" xr:uid="{00000000-0005-0000-0000-000038050000}"/>
    <cellStyle name="Output 3 2 2 2 2 2 2" xfId="1638" xr:uid="{00000000-0005-0000-0000-000039050000}"/>
    <cellStyle name="Output 3 2 2 2 2 3" xfId="967" xr:uid="{00000000-0005-0000-0000-00003A050000}"/>
    <cellStyle name="Output 3 2 2 2 2 3 2" xfId="1758" xr:uid="{00000000-0005-0000-0000-00003B050000}"/>
    <cellStyle name="Output 3 2 2 2 2 4" xfId="668" xr:uid="{00000000-0005-0000-0000-00003C050000}"/>
    <cellStyle name="Output 3 2 2 2 2 4 2" xfId="1459" xr:uid="{00000000-0005-0000-0000-00003D050000}"/>
    <cellStyle name="Output 3 2 2 2 2 5" xfId="1111" xr:uid="{00000000-0005-0000-0000-00003E050000}"/>
    <cellStyle name="Output 3 2 2 2 2 5 2" xfId="1902" xr:uid="{00000000-0005-0000-0000-00003F050000}"/>
    <cellStyle name="Output 3 2 2 2 2 6" xfId="1231" xr:uid="{00000000-0005-0000-0000-000040050000}"/>
    <cellStyle name="Output 3 2 2 2 2 6 2" xfId="2022" xr:uid="{00000000-0005-0000-0000-000041050000}"/>
    <cellStyle name="Output 3 2 2 2 2 7" xfId="1422" xr:uid="{00000000-0005-0000-0000-000042050000}"/>
    <cellStyle name="Output 3 2 2 2 3" xfId="766" xr:uid="{00000000-0005-0000-0000-000043050000}"/>
    <cellStyle name="Output 3 2 2 2 3 2" xfId="1557" xr:uid="{00000000-0005-0000-0000-000044050000}"/>
    <cellStyle name="Output 3 2 2 2 4" xfId="887" xr:uid="{00000000-0005-0000-0000-000045050000}"/>
    <cellStyle name="Output 3 2 2 2 4 2" xfId="1678" xr:uid="{00000000-0005-0000-0000-000046050000}"/>
    <cellStyle name="Output 3 2 2 2 5" xfId="651" xr:uid="{00000000-0005-0000-0000-000047050000}"/>
    <cellStyle name="Output 3 2 2 2 5 2" xfId="1442" xr:uid="{00000000-0005-0000-0000-000048050000}"/>
    <cellStyle name="Output 3 2 2 2 6" xfId="1031" xr:uid="{00000000-0005-0000-0000-000049050000}"/>
    <cellStyle name="Output 3 2 2 2 6 2" xfId="1822" xr:uid="{00000000-0005-0000-0000-00004A050000}"/>
    <cellStyle name="Output 3 2 2 2 7" xfId="1151" xr:uid="{00000000-0005-0000-0000-00004B050000}"/>
    <cellStyle name="Output 3 2 2 2 7 2" xfId="1942" xr:uid="{00000000-0005-0000-0000-00004C050000}"/>
    <cellStyle name="Output 3 2 2 2 8" xfId="1342" xr:uid="{00000000-0005-0000-0000-00004D050000}"/>
    <cellStyle name="Output 3 2 2 3" xfId="596" xr:uid="{00000000-0005-0000-0000-00004E050000}"/>
    <cellStyle name="Output 3 2 2 3 2" xfId="812" xr:uid="{00000000-0005-0000-0000-00004F050000}"/>
    <cellStyle name="Output 3 2 2 3 2 2" xfId="1603" xr:uid="{00000000-0005-0000-0000-000050050000}"/>
    <cellStyle name="Output 3 2 2 3 3" xfId="932" xr:uid="{00000000-0005-0000-0000-000051050000}"/>
    <cellStyle name="Output 3 2 2 3 3 2" xfId="1723" xr:uid="{00000000-0005-0000-0000-000052050000}"/>
    <cellStyle name="Output 3 2 2 3 4" xfId="725" xr:uid="{00000000-0005-0000-0000-000053050000}"/>
    <cellStyle name="Output 3 2 2 3 4 2" xfId="1516" xr:uid="{00000000-0005-0000-0000-000054050000}"/>
    <cellStyle name="Output 3 2 2 3 5" xfId="1076" xr:uid="{00000000-0005-0000-0000-000055050000}"/>
    <cellStyle name="Output 3 2 2 3 5 2" xfId="1867" xr:uid="{00000000-0005-0000-0000-000056050000}"/>
    <cellStyle name="Output 3 2 2 3 6" xfId="1196" xr:uid="{00000000-0005-0000-0000-000057050000}"/>
    <cellStyle name="Output 3 2 2 3 6 2" xfId="1987" xr:uid="{00000000-0005-0000-0000-000058050000}"/>
    <cellStyle name="Output 3 2 2 3 7" xfId="1387" xr:uid="{00000000-0005-0000-0000-000059050000}"/>
    <cellStyle name="Output 3 2 2 4" xfId="1307" xr:uid="{00000000-0005-0000-0000-00005A050000}"/>
    <cellStyle name="Output 3 2 3" xfId="547" xr:uid="{00000000-0005-0000-0000-00005B050000}"/>
    <cellStyle name="Output 3 2 3 2" xfId="630" xr:uid="{00000000-0005-0000-0000-00005C050000}"/>
    <cellStyle name="Output 3 2 3 2 2" xfId="846" xr:uid="{00000000-0005-0000-0000-00005D050000}"/>
    <cellStyle name="Output 3 2 3 2 2 2" xfId="1637" xr:uid="{00000000-0005-0000-0000-00005E050000}"/>
    <cellStyle name="Output 3 2 3 2 3" xfId="966" xr:uid="{00000000-0005-0000-0000-00005F050000}"/>
    <cellStyle name="Output 3 2 3 2 3 2" xfId="1757" xr:uid="{00000000-0005-0000-0000-000060050000}"/>
    <cellStyle name="Output 3 2 3 2 4" xfId="724" xr:uid="{00000000-0005-0000-0000-000061050000}"/>
    <cellStyle name="Output 3 2 3 2 4 2" xfId="1515" xr:uid="{00000000-0005-0000-0000-000062050000}"/>
    <cellStyle name="Output 3 2 3 2 5" xfId="1110" xr:uid="{00000000-0005-0000-0000-000063050000}"/>
    <cellStyle name="Output 3 2 3 2 5 2" xfId="1901" xr:uid="{00000000-0005-0000-0000-000064050000}"/>
    <cellStyle name="Output 3 2 3 2 6" xfId="1230" xr:uid="{00000000-0005-0000-0000-000065050000}"/>
    <cellStyle name="Output 3 2 3 2 6 2" xfId="2021" xr:uid="{00000000-0005-0000-0000-000066050000}"/>
    <cellStyle name="Output 3 2 3 2 7" xfId="1421" xr:uid="{00000000-0005-0000-0000-000067050000}"/>
    <cellStyle name="Output 3 2 3 3" xfId="765" xr:uid="{00000000-0005-0000-0000-000068050000}"/>
    <cellStyle name="Output 3 2 3 3 2" xfId="1556" xr:uid="{00000000-0005-0000-0000-000069050000}"/>
    <cellStyle name="Output 3 2 3 4" xfId="886" xr:uid="{00000000-0005-0000-0000-00006A050000}"/>
    <cellStyle name="Output 3 2 3 4 2" xfId="1677" xr:uid="{00000000-0005-0000-0000-00006B050000}"/>
    <cellStyle name="Output 3 2 3 5" xfId="649" xr:uid="{00000000-0005-0000-0000-00006C050000}"/>
    <cellStyle name="Output 3 2 3 5 2" xfId="1440" xr:uid="{00000000-0005-0000-0000-00006D050000}"/>
    <cellStyle name="Output 3 2 3 6" xfId="1030" xr:uid="{00000000-0005-0000-0000-00006E050000}"/>
    <cellStyle name="Output 3 2 3 6 2" xfId="1821" xr:uid="{00000000-0005-0000-0000-00006F050000}"/>
    <cellStyle name="Output 3 2 3 7" xfId="1150" xr:uid="{00000000-0005-0000-0000-000070050000}"/>
    <cellStyle name="Output 3 2 3 7 2" xfId="1941" xr:uid="{00000000-0005-0000-0000-000071050000}"/>
    <cellStyle name="Output 3 2 3 8" xfId="1341" xr:uid="{00000000-0005-0000-0000-000072050000}"/>
    <cellStyle name="Output 3 2 4" xfId="576" xr:uid="{00000000-0005-0000-0000-000073050000}"/>
    <cellStyle name="Output 3 2 4 2" xfId="792" xr:uid="{00000000-0005-0000-0000-000074050000}"/>
    <cellStyle name="Output 3 2 4 2 2" xfId="1583" xr:uid="{00000000-0005-0000-0000-000075050000}"/>
    <cellStyle name="Output 3 2 4 3" xfId="912" xr:uid="{00000000-0005-0000-0000-000076050000}"/>
    <cellStyle name="Output 3 2 4 3 2" xfId="1703" xr:uid="{00000000-0005-0000-0000-000077050000}"/>
    <cellStyle name="Output 3 2 4 4" xfId="994" xr:uid="{00000000-0005-0000-0000-000078050000}"/>
    <cellStyle name="Output 3 2 4 4 2" xfId="1785" xr:uid="{00000000-0005-0000-0000-000079050000}"/>
    <cellStyle name="Output 3 2 4 5" xfId="1056" xr:uid="{00000000-0005-0000-0000-00007A050000}"/>
    <cellStyle name="Output 3 2 4 5 2" xfId="1847" xr:uid="{00000000-0005-0000-0000-00007B050000}"/>
    <cellStyle name="Output 3 2 4 6" xfId="1176" xr:uid="{00000000-0005-0000-0000-00007C050000}"/>
    <cellStyle name="Output 3 2 4 6 2" xfId="1967" xr:uid="{00000000-0005-0000-0000-00007D050000}"/>
    <cellStyle name="Output 3 2 4 7" xfId="1367" xr:uid="{00000000-0005-0000-0000-00007E050000}"/>
    <cellStyle name="Output 3 2 5" xfId="1287" xr:uid="{00000000-0005-0000-0000-00007F050000}"/>
    <cellStyle name="Output 3 3" xfId="502" xr:uid="{00000000-0005-0000-0000-000080050000}"/>
    <cellStyle name="Output 3 3 2" xfId="549" xr:uid="{00000000-0005-0000-0000-000081050000}"/>
    <cellStyle name="Output 3 3 2 2" xfId="632" xr:uid="{00000000-0005-0000-0000-000082050000}"/>
    <cellStyle name="Output 3 3 2 2 2" xfId="848" xr:uid="{00000000-0005-0000-0000-000083050000}"/>
    <cellStyle name="Output 3 3 2 2 2 2" xfId="1639" xr:uid="{00000000-0005-0000-0000-000084050000}"/>
    <cellStyle name="Output 3 3 2 2 3" xfId="968" xr:uid="{00000000-0005-0000-0000-000085050000}"/>
    <cellStyle name="Output 3 3 2 2 3 2" xfId="1759" xr:uid="{00000000-0005-0000-0000-000086050000}"/>
    <cellStyle name="Output 3 3 2 2 4" xfId="689" xr:uid="{00000000-0005-0000-0000-000087050000}"/>
    <cellStyle name="Output 3 3 2 2 4 2" xfId="1480" xr:uid="{00000000-0005-0000-0000-000088050000}"/>
    <cellStyle name="Output 3 3 2 2 5" xfId="1112" xr:uid="{00000000-0005-0000-0000-000089050000}"/>
    <cellStyle name="Output 3 3 2 2 5 2" xfId="1903" xr:uid="{00000000-0005-0000-0000-00008A050000}"/>
    <cellStyle name="Output 3 3 2 2 6" xfId="1232" xr:uid="{00000000-0005-0000-0000-00008B050000}"/>
    <cellStyle name="Output 3 3 2 2 6 2" xfId="2023" xr:uid="{00000000-0005-0000-0000-00008C050000}"/>
    <cellStyle name="Output 3 3 2 2 7" xfId="1423" xr:uid="{00000000-0005-0000-0000-00008D050000}"/>
    <cellStyle name="Output 3 3 2 3" xfId="767" xr:uid="{00000000-0005-0000-0000-00008E050000}"/>
    <cellStyle name="Output 3 3 2 3 2" xfId="1558" xr:uid="{00000000-0005-0000-0000-00008F050000}"/>
    <cellStyle name="Output 3 3 2 4" xfId="888" xr:uid="{00000000-0005-0000-0000-000090050000}"/>
    <cellStyle name="Output 3 3 2 4 2" xfId="1679" xr:uid="{00000000-0005-0000-0000-000091050000}"/>
    <cellStyle name="Output 3 3 2 5" xfId="679" xr:uid="{00000000-0005-0000-0000-000092050000}"/>
    <cellStyle name="Output 3 3 2 5 2" xfId="1470" xr:uid="{00000000-0005-0000-0000-000093050000}"/>
    <cellStyle name="Output 3 3 2 6" xfId="1032" xr:uid="{00000000-0005-0000-0000-000094050000}"/>
    <cellStyle name="Output 3 3 2 6 2" xfId="1823" xr:uid="{00000000-0005-0000-0000-000095050000}"/>
    <cellStyle name="Output 3 3 2 7" xfId="1152" xr:uid="{00000000-0005-0000-0000-000096050000}"/>
    <cellStyle name="Output 3 3 2 7 2" xfId="1943" xr:uid="{00000000-0005-0000-0000-000097050000}"/>
    <cellStyle name="Output 3 3 2 8" xfId="1343" xr:uid="{00000000-0005-0000-0000-000098050000}"/>
    <cellStyle name="Output 3 3 3" xfId="586" xr:uid="{00000000-0005-0000-0000-000099050000}"/>
    <cellStyle name="Output 3 3 3 2" xfId="802" xr:uid="{00000000-0005-0000-0000-00009A050000}"/>
    <cellStyle name="Output 3 3 3 2 2" xfId="1593" xr:uid="{00000000-0005-0000-0000-00009B050000}"/>
    <cellStyle name="Output 3 3 3 3" xfId="922" xr:uid="{00000000-0005-0000-0000-00009C050000}"/>
    <cellStyle name="Output 3 3 3 3 2" xfId="1713" xr:uid="{00000000-0005-0000-0000-00009D050000}"/>
    <cellStyle name="Output 3 3 3 4" xfId="677" xr:uid="{00000000-0005-0000-0000-00009E050000}"/>
    <cellStyle name="Output 3 3 3 4 2" xfId="1468" xr:uid="{00000000-0005-0000-0000-00009F050000}"/>
    <cellStyle name="Output 3 3 3 5" xfId="1066" xr:uid="{00000000-0005-0000-0000-0000A0050000}"/>
    <cellStyle name="Output 3 3 3 5 2" xfId="1857" xr:uid="{00000000-0005-0000-0000-0000A1050000}"/>
    <cellStyle name="Output 3 3 3 6" xfId="1186" xr:uid="{00000000-0005-0000-0000-0000A2050000}"/>
    <cellStyle name="Output 3 3 3 6 2" xfId="1977" xr:uid="{00000000-0005-0000-0000-0000A3050000}"/>
    <cellStyle name="Output 3 3 3 7" xfId="1377" xr:uid="{00000000-0005-0000-0000-0000A4050000}"/>
    <cellStyle name="Output 3 3 4" xfId="1297" xr:uid="{00000000-0005-0000-0000-0000A5050000}"/>
    <cellStyle name="Output 3 4" xfId="546" xr:uid="{00000000-0005-0000-0000-0000A6050000}"/>
    <cellStyle name="Output 3 4 2" xfId="629" xr:uid="{00000000-0005-0000-0000-0000A7050000}"/>
    <cellStyle name="Output 3 4 2 2" xfId="845" xr:uid="{00000000-0005-0000-0000-0000A8050000}"/>
    <cellStyle name="Output 3 4 2 2 2" xfId="1636" xr:uid="{00000000-0005-0000-0000-0000A9050000}"/>
    <cellStyle name="Output 3 4 2 3" xfId="965" xr:uid="{00000000-0005-0000-0000-0000AA050000}"/>
    <cellStyle name="Output 3 4 2 3 2" xfId="1756" xr:uid="{00000000-0005-0000-0000-0000AB050000}"/>
    <cellStyle name="Output 3 4 2 4" xfId="657" xr:uid="{00000000-0005-0000-0000-0000AC050000}"/>
    <cellStyle name="Output 3 4 2 4 2" xfId="1448" xr:uid="{00000000-0005-0000-0000-0000AD050000}"/>
    <cellStyle name="Output 3 4 2 5" xfId="1109" xr:uid="{00000000-0005-0000-0000-0000AE050000}"/>
    <cellStyle name="Output 3 4 2 5 2" xfId="1900" xr:uid="{00000000-0005-0000-0000-0000AF050000}"/>
    <cellStyle name="Output 3 4 2 6" xfId="1229" xr:uid="{00000000-0005-0000-0000-0000B0050000}"/>
    <cellStyle name="Output 3 4 2 6 2" xfId="2020" xr:uid="{00000000-0005-0000-0000-0000B1050000}"/>
    <cellStyle name="Output 3 4 2 7" xfId="1420" xr:uid="{00000000-0005-0000-0000-0000B2050000}"/>
    <cellStyle name="Output 3 4 3" xfId="764" xr:uid="{00000000-0005-0000-0000-0000B3050000}"/>
    <cellStyle name="Output 3 4 3 2" xfId="1555" xr:uid="{00000000-0005-0000-0000-0000B4050000}"/>
    <cellStyle name="Output 3 4 4" xfId="885" xr:uid="{00000000-0005-0000-0000-0000B5050000}"/>
    <cellStyle name="Output 3 4 4 2" xfId="1676" xr:uid="{00000000-0005-0000-0000-0000B6050000}"/>
    <cellStyle name="Output 3 4 5" xfId="682" xr:uid="{00000000-0005-0000-0000-0000B7050000}"/>
    <cellStyle name="Output 3 4 5 2" xfId="1473" xr:uid="{00000000-0005-0000-0000-0000B8050000}"/>
    <cellStyle name="Output 3 4 6" xfId="1029" xr:uid="{00000000-0005-0000-0000-0000B9050000}"/>
    <cellStyle name="Output 3 4 6 2" xfId="1820" xr:uid="{00000000-0005-0000-0000-0000BA050000}"/>
    <cellStyle name="Output 3 4 7" xfId="1149" xr:uid="{00000000-0005-0000-0000-0000BB050000}"/>
    <cellStyle name="Output 3 4 7 2" xfId="1940" xr:uid="{00000000-0005-0000-0000-0000BC050000}"/>
    <cellStyle name="Output 3 4 8" xfId="1340" xr:uid="{00000000-0005-0000-0000-0000BD050000}"/>
    <cellStyle name="Output 3 5" xfId="566" xr:uid="{00000000-0005-0000-0000-0000BE050000}"/>
    <cellStyle name="Output 3 5 2" xfId="782" xr:uid="{00000000-0005-0000-0000-0000BF050000}"/>
    <cellStyle name="Output 3 5 2 2" xfId="1573" xr:uid="{00000000-0005-0000-0000-0000C0050000}"/>
    <cellStyle name="Output 3 5 3" xfId="902" xr:uid="{00000000-0005-0000-0000-0000C1050000}"/>
    <cellStyle name="Output 3 5 3 2" xfId="1693" xr:uid="{00000000-0005-0000-0000-0000C2050000}"/>
    <cellStyle name="Output 3 5 4" xfId="989" xr:uid="{00000000-0005-0000-0000-0000C3050000}"/>
    <cellStyle name="Output 3 5 4 2" xfId="1780" xr:uid="{00000000-0005-0000-0000-0000C4050000}"/>
    <cellStyle name="Output 3 5 5" xfId="1046" xr:uid="{00000000-0005-0000-0000-0000C5050000}"/>
    <cellStyle name="Output 3 5 5 2" xfId="1837" xr:uid="{00000000-0005-0000-0000-0000C6050000}"/>
    <cellStyle name="Output 3 5 6" xfId="1166" xr:uid="{00000000-0005-0000-0000-0000C7050000}"/>
    <cellStyle name="Output 3 5 6 2" xfId="1957" xr:uid="{00000000-0005-0000-0000-0000C8050000}"/>
    <cellStyle name="Output 3 5 7" xfId="1357" xr:uid="{00000000-0005-0000-0000-0000C9050000}"/>
    <cellStyle name="Output 3 6" xfId="1275" xr:uid="{00000000-0005-0000-0000-0000CA050000}"/>
    <cellStyle name="Percent" xfId="2" builtinId="5"/>
    <cellStyle name="Percent 10" xfId="40" xr:uid="{00000000-0005-0000-0000-0000CC050000}"/>
    <cellStyle name="Percent 10 2" xfId="187" xr:uid="{00000000-0005-0000-0000-0000CD050000}"/>
    <cellStyle name="Percent 100" xfId="41" xr:uid="{00000000-0005-0000-0000-0000CE050000}"/>
    <cellStyle name="Percent 100 2" xfId="188" xr:uid="{00000000-0005-0000-0000-0000CF050000}"/>
    <cellStyle name="Percent 101" xfId="42" xr:uid="{00000000-0005-0000-0000-0000D0050000}"/>
    <cellStyle name="Percent 101 2" xfId="189" xr:uid="{00000000-0005-0000-0000-0000D1050000}"/>
    <cellStyle name="Percent 102" xfId="43" xr:uid="{00000000-0005-0000-0000-0000D2050000}"/>
    <cellStyle name="Percent 102 2" xfId="190" xr:uid="{00000000-0005-0000-0000-0000D3050000}"/>
    <cellStyle name="Percent 103" xfId="44" xr:uid="{00000000-0005-0000-0000-0000D4050000}"/>
    <cellStyle name="Percent 103 2" xfId="191" xr:uid="{00000000-0005-0000-0000-0000D5050000}"/>
    <cellStyle name="Percent 104" xfId="45" xr:uid="{00000000-0005-0000-0000-0000D6050000}"/>
    <cellStyle name="Percent 104 2" xfId="192" xr:uid="{00000000-0005-0000-0000-0000D7050000}"/>
    <cellStyle name="Percent 105" xfId="46" xr:uid="{00000000-0005-0000-0000-0000D8050000}"/>
    <cellStyle name="Percent 105 2" xfId="193" xr:uid="{00000000-0005-0000-0000-0000D9050000}"/>
    <cellStyle name="Percent 106" xfId="47" xr:uid="{00000000-0005-0000-0000-0000DA050000}"/>
    <cellStyle name="Percent 106 2" xfId="194" xr:uid="{00000000-0005-0000-0000-0000DB050000}"/>
    <cellStyle name="Percent 107" xfId="48" xr:uid="{00000000-0005-0000-0000-0000DC050000}"/>
    <cellStyle name="Percent 107 2" xfId="195" xr:uid="{00000000-0005-0000-0000-0000DD050000}"/>
    <cellStyle name="Percent 108" xfId="49" xr:uid="{00000000-0005-0000-0000-0000DE050000}"/>
    <cellStyle name="Percent 108 2" xfId="196" xr:uid="{00000000-0005-0000-0000-0000DF050000}"/>
    <cellStyle name="Percent 109" xfId="50" xr:uid="{00000000-0005-0000-0000-0000E0050000}"/>
    <cellStyle name="Percent 109 2" xfId="197" xr:uid="{00000000-0005-0000-0000-0000E1050000}"/>
    <cellStyle name="Percent 11" xfId="51" xr:uid="{00000000-0005-0000-0000-0000E2050000}"/>
    <cellStyle name="Percent 11 2" xfId="198" xr:uid="{00000000-0005-0000-0000-0000E3050000}"/>
    <cellStyle name="Percent 110" xfId="52" xr:uid="{00000000-0005-0000-0000-0000E4050000}"/>
    <cellStyle name="Percent 110 2" xfId="199" xr:uid="{00000000-0005-0000-0000-0000E5050000}"/>
    <cellStyle name="Percent 111" xfId="53" xr:uid="{00000000-0005-0000-0000-0000E6050000}"/>
    <cellStyle name="Percent 111 2" xfId="200" xr:uid="{00000000-0005-0000-0000-0000E7050000}"/>
    <cellStyle name="Percent 112" xfId="54" xr:uid="{00000000-0005-0000-0000-0000E8050000}"/>
    <cellStyle name="Percent 112 2" xfId="201" xr:uid="{00000000-0005-0000-0000-0000E9050000}"/>
    <cellStyle name="Percent 113" xfId="55" xr:uid="{00000000-0005-0000-0000-0000EA050000}"/>
    <cellStyle name="Percent 113 2" xfId="202" xr:uid="{00000000-0005-0000-0000-0000EB050000}"/>
    <cellStyle name="Percent 114" xfId="56" xr:uid="{00000000-0005-0000-0000-0000EC050000}"/>
    <cellStyle name="Percent 114 2" xfId="203" xr:uid="{00000000-0005-0000-0000-0000ED050000}"/>
    <cellStyle name="Percent 115" xfId="57" xr:uid="{00000000-0005-0000-0000-0000EE050000}"/>
    <cellStyle name="Percent 115 2" xfId="204" xr:uid="{00000000-0005-0000-0000-0000EF050000}"/>
    <cellStyle name="Percent 116" xfId="39" xr:uid="{00000000-0005-0000-0000-0000F0050000}"/>
    <cellStyle name="Percent 117" xfId="4" xr:uid="{00000000-0005-0000-0000-0000F1050000}"/>
    <cellStyle name="Percent 118" xfId="320" xr:uid="{00000000-0005-0000-0000-0000F2050000}"/>
    <cellStyle name="Percent 118 2" xfId="1248" xr:uid="{00000000-0005-0000-0000-0000F3050000}"/>
    <cellStyle name="Percent 119" xfId="444" xr:uid="{00000000-0005-0000-0000-0000F4050000}"/>
    <cellStyle name="Percent 119 2" xfId="1253" xr:uid="{00000000-0005-0000-0000-0000F5050000}"/>
    <cellStyle name="Percent 12" xfId="58" xr:uid="{00000000-0005-0000-0000-0000F6050000}"/>
    <cellStyle name="Percent 12 2" xfId="205" xr:uid="{00000000-0005-0000-0000-0000F7050000}"/>
    <cellStyle name="Percent 120" xfId="493" xr:uid="{00000000-0005-0000-0000-0000F8050000}"/>
    <cellStyle name="Percent 120 2" xfId="1259" xr:uid="{00000000-0005-0000-0000-0000F9050000}"/>
    <cellStyle name="Percent 121" xfId="560" xr:uid="{00000000-0005-0000-0000-0000FA050000}"/>
    <cellStyle name="Percent 122" xfId="1244" xr:uid="{00000000-0005-0000-0000-0000FB050000}"/>
    <cellStyle name="Percent 123" xfId="1268" xr:uid="{00000000-0005-0000-0000-0000FC050000}"/>
    <cellStyle name="Percent 13" xfId="59" xr:uid="{00000000-0005-0000-0000-0000FD050000}"/>
    <cellStyle name="Percent 13 2" xfId="206" xr:uid="{00000000-0005-0000-0000-0000FE050000}"/>
    <cellStyle name="Percent 14" xfId="60" xr:uid="{00000000-0005-0000-0000-0000FF050000}"/>
    <cellStyle name="Percent 14 2" xfId="207" xr:uid="{00000000-0005-0000-0000-000000060000}"/>
    <cellStyle name="Percent 15" xfId="61" xr:uid="{00000000-0005-0000-0000-000001060000}"/>
    <cellStyle name="Percent 15 2" xfId="208" xr:uid="{00000000-0005-0000-0000-000002060000}"/>
    <cellStyle name="Percent 16" xfId="62" xr:uid="{00000000-0005-0000-0000-000003060000}"/>
    <cellStyle name="Percent 16 2" xfId="209" xr:uid="{00000000-0005-0000-0000-000004060000}"/>
    <cellStyle name="Percent 17" xfId="63" xr:uid="{00000000-0005-0000-0000-000005060000}"/>
    <cellStyle name="Percent 17 2" xfId="210" xr:uid="{00000000-0005-0000-0000-000006060000}"/>
    <cellStyle name="Percent 18" xfId="64" xr:uid="{00000000-0005-0000-0000-000007060000}"/>
    <cellStyle name="Percent 18 2" xfId="211" xr:uid="{00000000-0005-0000-0000-000008060000}"/>
    <cellStyle name="Percent 19" xfId="65" xr:uid="{00000000-0005-0000-0000-000009060000}"/>
    <cellStyle name="Percent 19 2" xfId="212" xr:uid="{00000000-0005-0000-0000-00000A060000}"/>
    <cellStyle name="Percent 2" xfId="66" xr:uid="{00000000-0005-0000-0000-00000B060000}"/>
    <cellStyle name="Percent 2 2" xfId="213" xr:uid="{00000000-0005-0000-0000-00000C060000}"/>
    <cellStyle name="Percent 2 3" xfId="303" xr:uid="{00000000-0005-0000-0000-00000D060000}"/>
    <cellStyle name="Percent 20" xfId="67" xr:uid="{00000000-0005-0000-0000-00000E060000}"/>
    <cellStyle name="Percent 20 2" xfId="214" xr:uid="{00000000-0005-0000-0000-00000F060000}"/>
    <cellStyle name="Percent 21" xfId="68" xr:uid="{00000000-0005-0000-0000-000010060000}"/>
    <cellStyle name="Percent 21 2" xfId="215" xr:uid="{00000000-0005-0000-0000-000011060000}"/>
    <cellStyle name="Percent 22" xfId="69" xr:uid="{00000000-0005-0000-0000-000012060000}"/>
    <cellStyle name="Percent 22 2" xfId="216" xr:uid="{00000000-0005-0000-0000-000013060000}"/>
    <cellStyle name="Percent 23" xfId="70" xr:uid="{00000000-0005-0000-0000-000014060000}"/>
    <cellStyle name="Percent 23 2" xfId="217" xr:uid="{00000000-0005-0000-0000-000015060000}"/>
    <cellStyle name="Percent 24" xfId="71" xr:uid="{00000000-0005-0000-0000-000016060000}"/>
    <cellStyle name="Percent 24 2" xfId="218" xr:uid="{00000000-0005-0000-0000-000017060000}"/>
    <cellStyle name="Percent 25" xfId="72" xr:uid="{00000000-0005-0000-0000-000018060000}"/>
    <cellStyle name="Percent 25 2" xfId="219" xr:uid="{00000000-0005-0000-0000-000019060000}"/>
    <cellStyle name="Percent 26" xfId="73" xr:uid="{00000000-0005-0000-0000-00001A060000}"/>
    <cellStyle name="Percent 26 2" xfId="220" xr:uid="{00000000-0005-0000-0000-00001B060000}"/>
    <cellStyle name="Percent 27" xfId="74" xr:uid="{00000000-0005-0000-0000-00001C060000}"/>
    <cellStyle name="Percent 27 2" xfId="221" xr:uid="{00000000-0005-0000-0000-00001D060000}"/>
    <cellStyle name="Percent 28" xfId="75" xr:uid="{00000000-0005-0000-0000-00001E060000}"/>
    <cellStyle name="Percent 28 2" xfId="222" xr:uid="{00000000-0005-0000-0000-00001F060000}"/>
    <cellStyle name="Percent 29" xfId="76" xr:uid="{00000000-0005-0000-0000-000020060000}"/>
    <cellStyle name="Percent 29 2" xfId="223" xr:uid="{00000000-0005-0000-0000-000021060000}"/>
    <cellStyle name="Percent 3" xfId="77" xr:uid="{00000000-0005-0000-0000-000022060000}"/>
    <cellStyle name="Percent 3 2" xfId="157" xr:uid="{00000000-0005-0000-0000-000023060000}"/>
    <cellStyle name="Percent 30" xfId="78" xr:uid="{00000000-0005-0000-0000-000024060000}"/>
    <cellStyle name="Percent 30 2" xfId="224" xr:uid="{00000000-0005-0000-0000-000025060000}"/>
    <cellStyle name="Percent 31" xfId="79" xr:uid="{00000000-0005-0000-0000-000026060000}"/>
    <cellStyle name="Percent 31 2" xfId="225" xr:uid="{00000000-0005-0000-0000-000027060000}"/>
    <cellStyle name="Percent 32" xfId="80" xr:uid="{00000000-0005-0000-0000-000028060000}"/>
    <cellStyle name="Percent 32 2" xfId="226" xr:uid="{00000000-0005-0000-0000-000029060000}"/>
    <cellStyle name="Percent 33" xfId="81" xr:uid="{00000000-0005-0000-0000-00002A060000}"/>
    <cellStyle name="Percent 33 2" xfId="227" xr:uid="{00000000-0005-0000-0000-00002B060000}"/>
    <cellStyle name="Percent 34" xfId="82" xr:uid="{00000000-0005-0000-0000-00002C060000}"/>
    <cellStyle name="Percent 34 2" xfId="228" xr:uid="{00000000-0005-0000-0000-00002D060000}"/>
    <cellStyle name="Percent 35" xfId="83" xr:uid="{00000000-0005-0000-0000-00002E060000}"/>
    <cellStyle name="Percent 35 2" xfId="229" xr:uid="{00000000-0005-0000-0000-00002F060000}"/>
    <cellStyle name="Percent 36" xfId="84" xr:uid="{00000000-0005-0000-0000-000030060000}"/>
    <cellStyle name="Percent 36 2" xfId="230" xr:uid="{00000000-0005-0000-0000-000031060000}"/>
    <cellStyle name="Percent 37" xfId="85" xr:uid="{00000000-0005-0000-0000-000032060000}"/>
    <cellStyle name="Percent 37 2" xfId="231" xr:uid="{00000000-0005-0000-0000-000033060000}"/>
    <cellStyle name="Percent 38" xfId="86" xr:uid="{00000000-0005-0000-0000-000034060000}"/>
    <cellStyle name="Percent 38 2" xfId="232" xr:uid="{00000000-0005-0000-0000-000035060000}"/>
    <cellStyle name="Percent 39" xfId="87" xr:uid="{00000000-0005-0000-0000-000036060000}"/>
    <cellStyle name="Percent 39 2" xfId="233" xr:uid="{00000000-0005-0000-0000-000037060000}"/>
    <cellStyle name="Percent 4" xfId="88" xr:uid="{00000000-0005-0000-0000-000038060000}"/>
    <cellStyle name="Percent 4 2" xfId="234" xr:uid="{00000000-0005-0000-0000-000039060000}"/>
    <cellStyle name="Percent 40" xfId="89" xr:uid="{00000000-0005-0000-0000-00003A060000}"/>
    <cellStyle name="Percent 40 2" xfId="235" xr:uid="{00000000-0005-0000-0000-00003B060000}"/>
    <cellStyle name="Percent 41" xfId="90" xr:uid="{00000000-0005-0000-0000-00003C060000}"/>
    <cellStyle name="Percent 41 2" xfId="236" xr:uid="{00000000-0005-0000-0000-00003D060000}"/>
    <cellStyle name="Percent 42" xfId="91" xr:uid="{00000000-0005-0000-0000-00003E060000}"/>
    <cellStyle name="Percent 42 2" xfId="237" xr:uid="{00000000-0005-0000-0000-00003F060000}"/>
    <cellStyle name="Percent 43" xfId="92" xr:uid="{00000000-0005-0000-0000-000040060000}"/>
    <cellStyle name="Percent 43 2" xfId="238" xr:uid="{00000000-0005-0000-0000-000041060000}"/>
    <cellStyle name="Percent 44" xfId="93" xr:uid="{00000000-0005-0000-0000-000042060000}"/>
    <cellStyle name="Percent 44 2" xfId="239" xr:uid="{00000000-0005-0000-0000-000043060000}"/>
    <cellStyle name="Percent 45" xfId="94" xr:uid="{00000000-0005-0000-0000-000044060000}"/>
    <cellStyle name="Percent 45 2" xfId="240" xr:uid="{00000000-0005-0000-0000-000045060000}"/>
    <cellStyle name="Percent 46" xfId="95" xr:uid="{00000000-0005-0000-0000-000046060000}"/>
    <cellStyle name="Percent 46 2" xfId="241" xr:uid="{00000000-0005-0000-0000-000047060000}"/>
    <cellStyle name="Percent 47" xfId="96" xr:uid="{00000000-0005-0000-0000-000048060000}"/>
    <cellStyle name="Percent 47 2" xfId="242" xr:uid="{00000000-0005-0000-0000-000049060000}"/>
    <cellStyle name="Percent 48" xfId="97" xr:uid="{00000000-0005-0000-0000-00004A060000}"/>
    <cellStyle name="Percent 48 2" xfId="243" xr:uid="{00000000-0005-0000-0000-00004B060000}"/>
    <cellStyle name="Percent 49" xfId="98" xr:uid="{00000000-0005-0000-0000-00004C060000}"/>
    <cellStyle name="Percent 49 2" xfId="244" xr:uid="{00000000-0005-0000-0000-00004D060000}"/>
    <cellStyle name="Percent 5" xfId="99" xr:uid="{00000000-0005-0000-0000-00004E060000}"/>
    <cellStyle name="Percent 5 2" xfId="245" xr:uid="{00000000-0005-0000-0000-00004F060000}"/>
    <cellStyle name="Percent 50" xfId="100" xr:uid="{00000000-0005-0000-0000-000050060000}"/>
    <cellStyle name="Percent 50 2" xfId="246" xr:uid="{00000000-0005-0000-0000-000051060000}"/>
    <cellStyle name="Percent 51" xfId="101" xr:uid="{00000000-0005-0000-0000-000052060000}"/>
    <cellStyle name="Percent 51 2" xfId="247" xr:uid="{00000000-0005-0000-0000-000053060000}"/>
    <cellStyle name="Percent 52" xfId="102" xr:uid="{00000000-0005-0000-0000-000054060000}"/>
    <cellStyle name="Percent 52 2" xfId="248" xr:uid="{00000000-0005-0000-0000-000055060000}"/>
    <cellStyle name="Percent 53" xfId="103" xr:uid="{00000000-0005-0000-0000-000056060000}"/>
    <cellStyle name="Percent 53 2" xfId="249" xr:uid="{00000000-0005-0000-0000-000057060000}"/>
    <cellStyle name="Percent 54" xfId="104" xr:uid="{00000000-0005-0000-0000-000058060000}"/>
    <cellStyle name="Percent 54 2" xfId="250" xr:uid="{00000000-0005-0000-0000-000059060000}"/>
    <cellStyle name="Percent 55" xfId="105" xr:uid="{00000000-0005-0000-0000-00005A060000}"/>
    <cellStyle name="Percent 55 2" xfId="251" xr:uid="{00000000-0005-0000-0000-00005B060000}"/>
    <cellStyle name="Percent 56" xfId="106" xr:uid="{00000000-0005-0000-0000-00005C060000}"/>
    <cellStyle name="Percent 56 2" xfId="252" xr:uid="{00000000-0005-0000-0000-00005D060000}"/>
    <cellStyle name="Percent 57" xfId="107" xr:uid="{00000000-0005-0000-0000-00005E060000}"/>
    <cellStyle name="Percent 57 2" xfId="253" xr:uid="{00000000-0005-0000-0000-00005F060000}"/>
    <cellStyle name="Percent 58" xfId="108" xr:uid="{00000000-0005-0000-0000-000060060000}"/>
    <cellStyle name="Percent 58 2" xfId="254" xr:uid="{00000000-0005-0000-0000-000061060000}"/>
    <cellStyle name="Percent 59" xfId="109" xr:uid="{00000000-0005-0000-0000-000062060000}"/>
    <cellStyle name="Percent 59 2" xfId="255" xr:uid="{00000000-0005-0000-0000-000063060000}"/>
    <cellStyle name="Percent 6" xfId="110" xr:uid="{00000000-0005-0000-0000-000064060000}"/>
    <cellStyle name="Percent 6 2" xfId="256" xr:uid="{00000000-0005-0000-0000-000065060000}"/>
    <cellStyle name="Percent 60" xfId="111" xr:uid="{00000000-0005-0000-0000-000066060000}"/>
    <cellStyle name="Percent 60 2" xfId="257" xr:uid="{00000000-0005-0000-0000-000067060000}"/>
    <cellStyle name="Percent 61" xfId="112" xr:uid="{00000000-0005-0000-0000-000068060000}"/>
    <cellStyle name="Percent 61 2" xfId="258" xr:uid="{00000000-0005-0000-0000-000069060000}"/>
    <cellStyle name="Percent 62" xfId="113" xr:uid="{00000000-0005-0000-0000-00006A060000}"/>
    <cellStyle name="Percent 62 2" xfId="259" xr:uid="{00000000-0005-0000-0000-00006B060000}"/>
    <cellStyle name="Percent 63" xfId="114" xr:uid="{00000000-0005-0000-0000-00006C060000}"/>
    <cellStyle name="Percent 63 2" xfId="260" xr:uid="{00000000-0005-0000-0000-00006D060000}"/>
    <cellStyle name="Percent 64" xfId="115" xr:uid="{00000000-0005-0000-0000-00006E060000}"/>
    <cellStyle name="Percent 64 2" xfId="261" xr:uid="{00000000-0005-0000-0000-00006F060000}"/>
    <cellStyle name="Percent 65" xfId="116" xr:uid="{00000000-0005-0000-0000-000070060000}"/>
    <cellStyle name="Percent 65 2" xfId="262" xr:uid="{00000000-0005-0000-0000-000071060000}"/>
    <cellStyle name="Percent 66" xfId="117" xr:uid="{00000000-0005-0000-0000-000072060000}"/>
    <cellStyle name="Percent 66 2" xfId="263" xr:uid="{00000000-0005-0000-0000-000073060000}"/>
    <cellStyle name="Percent 67" xfId="118" xr:uid="{00000000-0005-0000-0000-000074060000}"/>
    <cellStyle name="Percent 67 2" xfId="264" xr:uid="{00000000-0005-0000-0000-000075060000}"/>
    <cellStyle name="Percent 68" xfId="119" xr:uid="{00000000-0005-0000-0000-000076060000}"/>
    <cellStyle name="Percent 68 2" xfId="265" xr:uid="{00000000-0005-0000-0000-000077060000}"/>
    <cellStyle name="Percent 69" xfId="120" xr:uid="{00000000-0005-0000-0000-000078060000}"/>
    <cellStyle name="Percent 69 2" xfId="266" xr:uid="{00000000-0005-0000-0000-000079060000}"/>
    <cellStyle name="Percent 7" xfId="121" xr:uid="{00000000-0005-0000-0000-00007A060000}"/>
    <cellStyle name="Percent 7 2" xfId="267" xr:uid="{00000000-0005-0000-0000-00007B060000}"/>
    <cellStyle name="Percent 70" xfId="122" xr:uid="{00000000-0005-0000-0000-00007C060000}"/>
    <cellStyle name="Percent 70 2" xfId="268" xr:uid="{00000000-0005-0000-0000-00007D060000}"/>
    <cellStyle name="Percent 71" xfId="123" xr:uid="{00000000-0005-0000-0000-00007E060000}"/>
    <cellStyle name="Percent 71 2" xfId="269" xr:uid="{00000000-0005-0000-0000-00007F060000}"/>
    <cellStyle name="Percent 72" xfId="124" xr:uid="{00000000-0005-0000-0000-000080060000}"/>
    <cellStyle name="Percent 72 2" xfId="270" xr:uid="{00000000-0005-0000-0000-000081060000}"/>
    <cellStyle name="Percent 73" xfId="125" xr:uid="{00000000-0005-0000-0000-000082060000}"/>
    <cellStyle name="Percent 73 2" xfId="271" xr:uid="{00000000-0005-0000-0000-000083060000}"/>
    <cellStyle name="Percent 74" xfId="126" xr:uid="{00000000-0005-0000-0000-000084060000}"/>
    <cellStyle name="Percent 74 2" xfId="272" xr:uid="{00000000-0005-0000-0000-000085060000}"/>
    <cellStyle name="Percent 75" xfId="127" xr:uid="{00000000-0005-0000-0000-000086060000}"/>
    <cellStyle name="Percent 75 2" xfId="273" xr:uid="{00000000-0005-0000-0000-000087060000}"/>
    <cellStyle name="Percent 76" xfId="128" xr:uid="{00000000-0005-0000-0000-000088060000}"/>
    <cellStyle name="Percent 76 2" xfId="274" xr:uid="{00000000-0005-0000-0000-000089060000}"/>
    <cellStyle name="Percent 77" xfId="129" xr:uid="{00000000-0005-0000-0000-00008A060000}"/>
    <cellStyle name="Percent 77 2" xfId="275" xr:uid="{00000000-0005-0000-0000-00008B060000}"/>
    <cellStyle name="Percent 78" xfId="130" xr:uid="{00000000-0005-0000-0000-00008C060000}"/>
    <cellStyle name="Percent 78 2" xfId="276" xr:uid="{00000000-0005-0000-0000-00008D060000}"/>
    <cellStyle name="Percent 79" xfId="131" xr:uid="{00000000-0005-0000-0000-00008E060000}"/>
    <cellStyle name="Percent 79 2" xfId="277" xr:uid="{00000000-0005-0000-0000-00008F060000}"/>
    <cellStyle name="Percent 8" xfId="132" xr:uid="{00000000-0005-0000-0000-000090060000}"/>
    <cellStyle name="Percent 8 2" xfId="278" xr:uid="{00000000-0005-0000-0000-000091060000}"/>
    <cellStyle name="Percent 80" xfId="133" xr:uid="{00000000-0005-0000-0000-000092060000}"/>
    <cellStyle name="Percent 80 2" xfId="279" xr:uid="{00000000-0005-0000-0000-000093060000}"/>
    <cellStyle name="Percent 81" xfId="134" xr:uid="{00000000-0005-0000-0000-000094060000}"/>
    <cellStyle name="Percent 81 2" xfId="280" xr:uid="{00000000-0005-0000-0000-000095060000}"/>
    <cellStyle name="Percent 82" xfId="135" xr:uid="{00000000-0005-0000-0000-000096060000}"/>
    <cellStyle name="Percent 82 2" xfId="281" xr:uid="{00000000-0005-0000-0000-000097060000}"/>
    <cellStyle name="Percent 83" xfId="136" xr:uid="{00000000-0005-0000-0000-000098060000}"/>
    <cellStyle name="Percent 83 2" xfId="282" xr:uid="{00000000-0005-0000-0000-000099060000}"/>
    <cellStyle name="Percent 84" xfId="137" xr:uid="{00000000-0005-0000-0000-00009A060000}"/>
    <cellStyle name="Percent 84 2" xfId="283" xr:uid="{00000000-0005-0000-0000-00009B060000}"/>
    <cellStyle name="Percent 85" xfId="138" xr:uid="{00000000-0005-0000-0000-00009C060000}"/>
    <cellStyle name="Percent 85 2" xfId="284" xr:uid="{00000000-0005-0000-0000-00009D060000}"/>
    <cellStyle name="Percent 86" xfId="139" xr:uid="{00000000-0005-0000-0000-00009E060000}"/>
    <cellStyle name="Percent 86 2" xfId="285" xr:uid="{00000000-0005-0000-0000-00009F060000}"/>
    <cellStyle name="Percent 87" xfId="140" xr:uid="{00000000-0005-0000-0000-0000A0060000}"/>
    <cellStyle name="Percent 87 2" xfId="286" xr:uid="{00000000-0005-0000-0000-0000A1060000}"/>
    <cellStyle name="Percent 88" xfId="141" xr:uid="{00000000-0005-0000-0000-0000A2060000}"/>
    <cellStyle name="Percent 88 2" xfId="287" xr:uid="{00000000-0005-0000-0000-0000A3060000}"/>
    <cellStyle name="Percent 89" xfId="142" xr:uid="{00000000-0005-0000-0000-0000A4060000}"/>
    <cellStyle name="Percent 89 2" xfId="288" xr:uid="{00000000-0005-0000-0000-0000A5060000}"/>
    <cellStyle name="Percent 9" xfId="143" xr:uid="{00000000-0005-0000-0000-0000A6060000}"/>
    <cellStyle name="Percent 9 2" xfId="289" xr:uid="{00000000-0005-0000-0000-0000A7060000}"/>
    <cellStyle name="Percent 90" xfId="144" xr:uid="{00000000-0005-0000-0000-0000A8060000}"/>
    <cellStyle name="Percent 90 2" xfId="290" xr:uid="{00000000-0005-0000-0000-0000A9060000}"/>
    <cellStyle name="Percent 91" xfId="145" xr:uid="{00000000-0005-0000-0000-0000AA060000}"/>
    <cellStyle name="Percent 91 2" xfId="291" xr:uid="{00000000-0005-0000-0000-0000AB060000}"/>
    <cellStyle name="Percent 92" xfId="146" xr:uid="{00000000-0005-0000-0000-0000AC060000}"/>
    <cellStyle name="Percent 92 2" xfId="292" xr:uid="{00000000-0005-0000-0000-0000AD060000}"/>
    <cellStyle name="Percent 93" xfId="147" xr:uid="{00000000-0005-0000-0000-0000AE060000}"/>
    <cellStyle name="Percent 93 2" xfId="293" xr:uid="{00000000-0005-0000-0000-0000AF060000}"/>
    <cellStyle name="Percent 94" xfId="148" xr:uid="{00000000-0005-0000-0000-0000B0060000}"/>
    <cellStyle name="Percent 94 2" xfId="294" xr:uid="{00000000-0005-0000-0000-0000B1060000}"/>
    <cellStyle name="Percent 95" xfId="149" xr:uid="{00000000-0005-0000-0000-0000B2060000}"/>
    <cellStyle name="Percent 95 2" xfId="295" xr:uid="{00000000-0005-0000-0000-0000B3060000}"/>
    <cellStyle name="Percent 96" xfId="150" xr:uid="{00000000-0005-0000-0000-0000B4060000}"/>
    <cellStyle name="Percent 96 2" xfId="296" xr:uid="{00000000-0005-0000-0000-0000B5060000}"/>
    <cellStyle name="Percent 97" xfId="151" xr:uid="{00000000-0005-0000-0000-0000B6060000}"/>
    <cellStyle name="Percent 97 2" xfId="297" xr:uid="{00000000-0005-0000-0000-0000B7060000}"/>
    <cellStyle name="Percent 98" xfId="152" xr:uid="{00000000-0005-0000-0000-0000B8060000}"/>
    <cellStyle name="Percent 98 2" xfId="298" xr:uid="{00000000-0005-0000-0000-0000B9060000}"/>
    <cellStyle name="Percent 99" xfId="153" xr:uid="{00000000-0005-0000-0000-0000BA060000}"/>
    <cellStyle name="Percent 99 2" xfId="299" xr:uid="{00000000-0005-0000-0000-0000BB060000}"/>
    <cellStyle name="TableTitles" xfId="307" xr:uid="{00000000-0005-0000-0000-0000BC060000}"/>
    <cellStyle name="Title 2" xfId="368" xr:uid="{00000000-0005-0000-0000-0000BD060000}"/>
    <cellStyle name="Title 3" xfId="366" xr:uid="{00000000-0005-0000-0000-0000BE060000}"/>
    <cellStyle name="Total 2" xfId="321" xr:uid="{00000000-0005-0000-0000-0000BF060000}"/>
    <cellStyle name="Total 2 2" xfId="477" xr:uid="{00000000-0005-0000-0000-0000C0060000}"/>
    <cellStyle name="Total 2 2 2" xfId="508" xr:uid="{00000000-0005-0000-0000-0000C1060000}"/>
    <cellStyle name="Total 2 2 2 2" xfId="552" xr:uid="{00000000-0005-0000-0000-0000C2060000}"/>
    <cellStyle name="Total 2 2 2 2 2" xfId="635" xr:uid="{00000000-0005-0000-0000-0000C3060000}"/>
    <cellStyle name="Total 2 2 2 2 2 2" xfId="851" xr:uid="{00000000-0005-0000-0000-0000C4060000}"/>
    <cellStyle name="Total 2 2 2 2 2 2 2" xfId="1642" xr:uid="{00000000-0005-0000-0000-0000C5060000}"/>
    <cellStyle name="Total 2 2 2 2 2 3" xfId="971" xr:uid="{00000000-0005-0000-0000-0000C6060000}"/>
    <cellStyle name="Total 2 2 2 2 2 3 2" xfId="1762" xr:uid="{00000000-0005-0000-0000-0000C7060000}"/>
    <cellStyle name="Total 2 2 2 2 2 4" xfId="647" xr:uid="{00000000-0005-0000-0000-0000C8060000}"/>
    <cellStyle name="Total 2 2 2 2 2 4 2" xfId="1438" xr:uid="{00000000-0005-0000-0000-0000C9060000}"/>
    <cellStyle name="Total 2 2 2 2 2 5" xfId="1115" xr:uid="{00000000-0005-0000-0000-0000CA060000}"/>
    <cellStyle name="Total 2 2 2 2 2 5 2" xfId="1906" xr:uid="{00000000-0005-0000-0000-0000CB060000}"/>
    <cellStyle name="Total 2 2 2 2 2 6" xfId="1235" xr:uid="{00000000-0005-0000-0000-0000CC060000}"/>
    <cellStyle name="Total 2 2 2 2 2 6 2" xfId="2026" xr:uid="{00000000-0005-0000-0000-0000CD060000}"/>
    <cellStyle name="Total 2 2 2 2 2 7" xfId="1426" xr:uid="{00000000-0005-0000-0000-0000CE060000}"/>
    <cellStyle name="Total 2 2 2 2 3" xfId="770" xr:uid="{00000000-0005-0000-0000-0000CF060000}"/>
    <cellStyle name="Total 2 2 2 2 3 2" xfId="1561" xr:uid="{00000000-0005-0000-0000-0000D0060000}"/>
    <cellStyle name="Total 2 2 2 2 4" xfId="891" xr:uid="{00000000-0005-0000-0000-0000D1060000}"/>
    <cellStyle name="Total 2 2 2 2 4 2" xfId="1682" xr:uid="{00000000-0005-0000-0000-0000D2060000}"/>
    <cellStyle name="Total 2 2 2 2 5" xfId="723" xr:uid="{00000000-0005-0000-0000-0000D3060000}"/>
    <cellStyle name="Total 2 2 2 2 5 2" xfId="1514" xr:uid="{00000000-0005-0000-0000-0000D4060000}"/>
    <cellStyle name="Total 2 2 2 2 6" xfId="1035" xr:uid="{00000000-0005-0000-0000-0000D5060000}"/>
    <cellStyle name="Total 2 2 2 2 6 2" xfId="1826" xr:uid="{00000000-0005-0000-0000-0000D6060000}"/>
    <cellStyle name="Total 2 2 2 2 7" xfId="1155" xr:uid="{00000000-0005-0000-0000-0000D7060000}"/>
    <cellStyle name="Total 2 2 2 2 7 2" xfId="1946" xr:uid="{00000000-0005-0000-0000-0000D8060000}"/>
    <cellStyle name="Total 2 2 2 2 8" xfId="1346" xr:uid="{00000000-0005-0000-0000-0000D9060000}"/>
    <cellStyle name="Total 2 2 2 3" xfId="591" xr:uid="{00000000-0005-0000-0000-0000DA060000}"/>
    <cellStyle name="Total 2 2 2 3 2" xfId="807" xr:uid="{00000000-0005-0000-0000-0000DB060000}"/>
    <cellStyle name="Total 2 2 2 3 2 2" xfId="1598" xr:uid="{00000000-0005-0000-0000-0000DC060000}"/>
    <cellStyle name="Total 2 2 2 3 3" xfId="927" xr:uid="{00000000-0005-0000-0000-0000DD060000}"/>
    <cellStyle name="Total 2 2 2 3 3 2" xfId="1718" xr:uid="{00000000-0005-0000-0000-0000DE060000}"/>
    <cellStyle name="Total 2 2 2 3 4" xfId="721" xr:uid="{00000000-0005-0000-0000-0000DF060000}"/>
    <cellStyle name="Total 2 2 2 3 4 2" xfId="1512" xr:uid="{00000000-0005-0000-0000-0000E0060000}"/>
    <cellStyle name="Total 2 2 2 3 5" xfId="1071" xr:uid="{00000000-0005-0000-0000-0000E1060000}"/>
    <cellStyle name="Total 2 2 2 3 5 2" xfId="1862" xr:uid="{00000000-0005-0000-0000-0000E2060000}"/>
    <cellStyle name="Total 2 2 2 3 6" xfId="1191" xr:uid="{00000000-0005-0000-0000-0000E3060000}"/>
    <cellStyle name="Total 2 2 2 3 6 2" xfId="1982" xr:uid="{00000000-0005-0000-0000-0000E4060000}"/>
    <cellStyle name="Total 2 2 2 3 7" xfId="1382" xr:uid="{00000000-0005-0000-0000-0000E5060000}"/>
    <cellStyle name="Total 2 2 2 4" xfId="1302" xr:uid="{00000000-0005-0000-0000-0000E6060000}"/>
    <cellStyle name="Total 2 2 3" xfId="551" xr:uid="{00000000-0005-0000-0000-0000E7060000}"/>
    <cellStyle name="Total 2 2 3 2" xfId="634" xr:uid="{00000000-0005-0000-0000-0000E8060000}"/>
    <cellStyle name="Total 2 2 3 2 2" xfId="850" xr:uid="{00000000-0005-0000-0000-0000E9060000}"/>
    <cellStyle name="Total 2 2 3 2 2 2" xfId="1641" xr:uid="{00000000-0005-0000-0000-0000EA060000}"/>
    <cellStyle name="Total 2 2 3 2 3" xfId="970" xr:uid="{00000000-0005-0000-0000-0000EB060000}"/>
    <cellStyle name="Total 2 2 3 2 3 2" xfId="1761" xr:uid="{00000000-0005-0000-0000-0000EC060000}"/>
    <cellStyle name="Total 2 2 3 2 4" xfId="697" xr:uid="{00000000-0005-0000-0000-0000ED060000}"/>
    <cellStyle name="Total 2 2 3 2 4 2" xfId="1488" xr:uid="{00000000-0005-0000-0000-0000EE060000}"/>
    <cellStyle name="Total 2 2 3 2 5" xfId="1114" xr:uid="{00000000-0005-0000-0000-0000EF060000}"/>
    <cellStyle name="Total 2 2 3 2 5 2" xfId="1905" xr:uid="{00000000-0005-0000-0000-0000F0060000}"/>
    <cellStyle name="Total 2 2 3 2 6" xfId="1234" xr:uid="{00000000-0005-0000-0000-0000F1060000}"/>
    <cellStyle name="Total 2 2 3 2 6 2" xfId="2025" xr:uid="{00000000-0005-0000-0000-0000F2060000}"/>
    <cellStyle name="Total 2 2 3 2 7" xfId="1425" xr:uid="{00000000-0005-0000-0000-0000F3060000}"/>
    <cellStyle name="Total 2 2 3 3" xfId="769" xr:uid="{00000000-0005-0000-0000-0000F4060000}"/>
    <cellStyle name="Total 2 2 3 3 2" xfId="1560" xr:uid="{00000000-0005-0000-0000-0000F5060000}"/>
    <cellStyle name="Total 2 2 3 4" xfId="890" xr:uid="{00000000-0005-0000-0000-0000F6060000}"/>
    <cellStyle name="Total 2 2 3 4 2" xfId="1681" xr:uid="{00000000-0005-0000-0000-0000F7060000}"/>
    <cellStyle name="Total 2 2 3 5" xfId="650" xr:uid="{00000000-0005-0000-0000-0000F8060000}"/>
    <cellStyle name="Total 2 2 3 5 2" xfId="1441" xr:uid="{00000000-0005-0000-0000-0000F9060000}"/>
    <cellStyle name="Total 2 2 3 6" xfId="1034" xr:uid="{00000000-0005-0000-0000-0000FA060000}"/>
    <cellStyle name="Total 2 2 3 6 2" xfId="1825" xr:uid="{00000000-0005-0000-0000-0000FB060000}"/>
    <cellStyle name="Total 2 2 3 7" xfId="1154" xr:uid="{00000000-0005-0000-0000-0000FC060000}"/>
    <cellStyle name="Total 2 2 3 7 2" xfId="1945" xr:uid="{00000000-0005-0000-0000-0000FD060000}"/>
    <cellStyle name="Total 2 2 3 8" xfId="1345" xr:uid="{00000000-0005-0000-0000-0000FE060000}"/>
    <cellStyle name="Total 2 2 4" xfId="571" xr:uid="{00000000-0005-0000-0000-0000FF060000}"/>
    <cellStyle name="Total 2 2 4 2" xfId="787" xr:uid="{00000000-0005-0000-0000-000000070000}"/>
    <cellStyle name="Total 2 2 4 2 2" xfId="1578" xr:uid="{00000000-0005-0000-0000-000001070000}"/>
    <cellStyle name="Total 2 2 4 3" xfId="907" xr:uid="{00000000-0005-0000-0000-000002070000}"/>
    <cellStyle name="Total 2 2 4 3 2" xfId="1698" xr:uid="{00000000-0005-0000-0000-000003070000}"/>
    <cellStyle name="Total 2 2 4 4" xfId="690" xr:uid="{00000000-0005-0000-0000-000004070000}"/>
    <cellStyle name="Total 2 2 4 4 2" xfId="1481" xr:uid="{00000000-0005-0000-0000-000005070000}"/>
    <cellStyle name="Total 2 2 4 5" xfId="1051" xr:uid="{00000000-0005-0000-0000-000006070000}"/>
    <cellStyle name="Total 2 2 4 5 2" xfId="1842" xr:uid="{00000000-0005-0000-0000-000007070000}"/>
    <cellStyle name="Total 2 2 4 6" xfId="1171" xr:uid="{00000000-0005-0000-0000-000008070000}"/>
    <cellStyle name="Total 2 2 4 6 2" xfId="1962" xr:uid="{00000000-0005-0000-0000-000009070000}"/>
    <cellStyle name="Total 2 2 4 7" xfId="1362" xr:uid="{00000000-0005-0000-0000-00000A070000}"/>
    <cellStyle name="Total 2 2 5" xfId="1282" xr:uid="{00000000-0005-0000-0000-00000B070000}"/>
    <cellStyle name="Total 2 3" xfId="496" xr:uid="{00000000-0005-0000-0000-00000C070000}"/>
    <cellStyle name="Total 2 3 2" xfId="553" xr:uid="{00000000-0005-0000-0000-00000D070000}"/>
    <cellStyle name="Total 2 3 2 2" xfId="636" xr:uid="{00000000-0005-0000-0000-00000E070000}"/>
    <cellStyle name="Total 2 3 2 2 2" xfId="852" xr:uid="{00000000-0005-0000-0000-00000F070000}"/>
    <cellStyle name="Total 2 3 2 2 2 2" xfId="1643" xr:uid="{00000000-0005-0000-0000-000010070000}"/>
    <cellStyle name="Total 2 3 2 2 3" xfId="972" xr:uid="{00000000-0005-0000-0000-000011070000}"/>
    <cellStyle name="Total 2 3 2 2 3 2" xfId="1763" xr:uid="{00000000-0005-0000-0000-000012070000}"/>
    <cellStyle name="Total 2 3 2 2 4" xfId="729" xr:uid="{00000000-0005-0000-0000-000013070000}"/>
    <cellStyle name="Total 2 3 2 2 4 2" xfId="1520" xr:uid="{00000000-0005-0000-0000-000014070000}"/>
    <cellStyle name="Total 2 3 2 2 5" xfId="1116" xr:uid="{00000000-0005-0000-0000-000015070000}"/>
    <cellStyle name="Total 2 3 2 2 5 2" xfId="1907" xr:uid="{00000000-0005-0000-0000-000016070000}"/>
    <cellStyle name="Total 2 3 2 2 6" xfId="1236" xr:uid="{00000000-0005-0000-0000-000017070000}"/>
    <cellStyle name="Total 2 3 2 2 6 2" xfId="2027" xr:uid="{00000000-0005-0000-0000-000018070000}"/>
    <cellStyle name="Total 2 3 2 2 7" xfId="1427" xr:uid="{00000000-0005-0000-0000-000019070000}"/>
    <cellStyle name="Total 2 3 2 3" xfId="771" xr:uid="{00000000-0005-0000-0000-00001A070000}"/>
    <cellStyle name="Total 2 3 2 3 2" xfId="1562" xr:uid="{00000000-0005-0000-0000-00001B070000}"/>
    <cellStyle name="Total 2 3 2 4" xfId="892" xr:uid="{00000000-0005-0000-0000-00001C070000}"/>
    <cellStyle name="Total 2 3 2 4 2" xfId="1683" xr:uid="{00000000-0005-0000-0000-00001D070000}"/>
    <cellStyle name="Total 2 3 2 5" xfId="645" xr:uid="{00000000-0005-0000-0000-00001E070000}"/>
    <cellStyle name="Total 2 3 2 5 2" xfId="1436" xr:uid="{00000000-0005-0000-0000-00001F070000}"/>
    <cellStyle name="Total 2 3 2 6" xfId="1036" xr:uid="{00000000-0005-0000-0000-000020070000}"/>
    <cellStyle name="Total 2 3 2 6 2" xfId="1827" xr:uid="{00000000-0005-0000-0000-000021070000}"/>
    <cellStyle name="Total 2 3 2 7" xfId="1156" xr:uid="{00000000-0005-0000-0000-000022070000}"/>
    <cellStyle name="Total 2 3 2 7 2" xfId="1947" xr:uid="{00000000-0005-0000-0000-000023070000}"/>
    <cellStyle name="Total 2 3 2 8" xfId="1347" xr:uid="{00000000-0005-0000-0000-000024070000}"/>
    <cellStyle name="Total 2 3 3" xfId="581" xr:uid="{00000000-0005-0000-0000-000025070000}"/>
    <cellStyle name="Total 2 3 3 2" xfId="797" xr:uid="{00000000-0005-0000-0000-000026070000}"/>
    <cellStyle name="Total 2 3 3 2 2" xfId="1588" xr:uid="{00000000-0005-0000-0000-000027070000}"/>
    <cellStyle name="Total 2 3 3 3" xfId="917" xr:uid="{00000000-0005-0000-0000-000028070000}"/>
    <cellStyle name="Total 2 3 3 3 2" xfId="1708" xr:uid="{00000000-0005-0000-0000-000029070000}"/>
    <cellStyle name="Total 2 3 3 4" xfId="978" xr:uid="{00000000-0005-0000-0000-00002A070000}"/>
    <cellStyle name="Total 2 3 3 4 2" xfId="1769" xr:uid="{00000000-0005-0000-0000-00002B070000}"/>
    <cellStyle name="Total 2 3 3 5" xfId="1061" xr:uid="{00000000-0005-0000-0000-00002C070000}"/>
    <cellStyle name="Total 2 3 3 5 2" xfId="1852" xr:uid="{00000000-0005-0000-0000-00002D070000}"/>
    <cellStyle name="Total 2 3 3 6" xfId="1181" xr:uid="{00000000-0005-0000-0000-00002E070000}"/>
    <cellStyle name="Total 2 3 3 6 2" xfId="1972" xr:uid="{00000000-0005-0000-0000-00002F070000}"/>
    <cellStyle name="Total 2 3 3 7" xfId="1372" xr:uid="{00000000-0005-0000-0000-000030070000}"/>
    <cellStyle name="Total 2 3 4" xfId="1292" xr:uid="{00000000-0005-0000-0000-000031070000}"/>
    <cellStyle name="Total 2 4" xfId="550" xr:uid="{00000000-0005-0000-0000-000032070000}"/>
    <cellStyle name="Total 2 4 2" xfId="633" xr:uid="{00000000-0005-0000-0000-000033070000}"/>
    <cellStyle name="Total 2 4 2 2" xfId="849" xr:uid="{00000000-0005-0000-0000-000034070000}"/>
    <cellStyle name="Total 2 4 2 2 2" xfId="1640" xr:uid="{00000000-0005-0000-0000-000035070000}"/>
    <cellStyle name="Total 2 4 2 3" xfId="969" xr:uid="{00000000-0005-0000-0000-000036070000}"/>
    <cellStyle name="Total 2 4 2 3 2" xfId="1760" xr:uid="{00000000-0005-0000-0000-000037070000}"/>
    <cellStyle name="Total 2 4 2 4" xfId="667" xr:uid="{00000000-0005-0000-0000-000038070000}"/>
    <cellStyle name="Total 2 4 2 4 2" xfId="1458" xr:uid="{00000000-0005-0000-0000-000039070000}"/>
    <cellStyle name="Total 2 4 2 5" xfId="1113" xr:uid="{00000000-0005-0000-0000-00003A070000}"/>
    <cellStyle name="Total 2 4 2 5 2" xfId="1904" xr:uid="{00000000-0005-0000-0000-00003B070000}"/>
    <cellStyle name="Total 2 4 2 6" xfId="1233" xr:uid="{00000000-0005-0000-0000-00003C070000}"/>
    <cellStyle name="Total 2 4 2 6 2" xfId="2024" xr:uid="{00000000-0005-0000-0000-00003D070000}"/>
    <cellStyle name="Total 2 4 2 7" xfId="1424" xr:uid="{00000000-0005-0000-0000-00003E070000}"/>
    <cellStyle name="Total 2 4 3" xfId="768" xr:uid="{00000000-0005-0000-0000-00003F070000}"/>
    <cellStyle name="Total 2 4 3 2" xfId="1559" xr:uid="{00000000-0005-0000-0000-000040070000}"/>
    <cellStyle name="Total 2 4 4" xfId="889" xr:uid="{00000000-0005-0000-0000-000041070000}"/>
    <cellStyle name="Total 2 4 4 2" xfId="1680" xr:uid="{00000000-0005-0000-0000-000042070000}"/>
    <cellStyle name="Total 2 4 5" xfId="652" xr:uid="{00000000-0005-0000-0000-000043070000}"/>
    <cellStyle name="Total 2 4 5 2" xfId="1443" xr:uid="{00000000-0005-0000-0000-000044070000}"/>
    <cellStyle name="Total 2 4 6" xfId="1033" xr:uid="{00000000-0005-0000-0000-000045070000}"/>
    <cellStyle name="Total 2 4 6 2" xfId="1824" xr:uid="{00000000-0005-0000-0000-000046070000}"/>
    <cellStyle name="Total 2 4 7" xfId="1153" xr:uid="{00000000-0005-0000-0000-000047070000}"/>
    <cellStyle name="Total 2 4 7 2" xfId="1944" xr:uid="{00000000-0005-0000-0000-000048070000}"/>
    <cellStyle name="Total 2 4 8" xfId="1344" xr:uid="{00000000-0005-0000-0000-000049070000}"/>
    <cellStyle name="Total 2 5" xfId="561" xr:uid="{00000000-0005-0000-0000-00004A070000}"/>
    <cellStyle name="Total 2 5 2" xfId="777" xr:uid="{00000000-0005-0000-0000-00004B070000}"/>
    <cellStyle name="Total 2 5 2 2" xfId="1568" xr:uid="{00000000-0005-0000-0000-00004C070000}"/>
    <cellStyle name="Total 2 5 3" xfId="897" xr:uid="{00000000-0005-0000-0000-00004D070000}"/>
    <cellStyle name="Total 2 5 3 2" xfId="1688" xr:uid="{00000000-0005-0000-0000-00004E070000}"/>
    <cellStyle name="Total 2 5 4" xfId="983" xr:uid="{00000000-0005-0000-0000-00004F070000}"/>
    <cellStyle name="Total 2 5 4 2" xfId="1774" xr:uid="{00000000-0005-0000-0000-000050070000}"/>
    <cellStyle name="Total 2 5 5" xfId="1041" xr:uid="{00000000-0005-0000-0000-000051070000}"/>
    <cellStyle name="Total 2 5 5 2" xfId="1832" xr:uid="{00000000-0005-0000-0000-000052070000}"/>
    <cellStyle name="Total 2 5 6" xfId="1161" xr:uid="{00000000-0005-0000-0000-000053070000}"/>
    <cellStyle name="Total 2 5 6 2" xfId="1952" xr:uid="{00000000-0005-0000-0000-000054070000}"/>
    <cellStyle name="Total 2 5 7" xfId="1352" xr:uid="{00000000-0005-0000-0000-000055070000}"/>
    <cellStyle name="Total 2 6" xfId="1270" xr:uid="{00000000-0005-0000-0000-000056070000}"/>
    <cellStyle name="Total 3" xfId="410" xr:uid="{00000000-0005-0000-0000-000057070000}"/>
    <cellStyle name="Total 3 2" xfId="485" xr:uid="{00000000-0005-0000-0000-000058070000}"/>
    <cellStyle name="Total 3 2 2" xfId="516" xr:uid="{00000000-0005-0000-0000-000059070000}"/>
    <cellStyle name="Total 3 2 2 2" xfId="556" xr:uid="{00000000-0005-0000-0000-00005A070000}"/>
    <cellStyle name="Total 3 2 2 2 2" xfId="639" xr:uid="{00000000-0005-0000-0000-00005B070000}"/>
    <cellStyle name="Total 3 2 2 2 2 2" xfId="855" xr:uid="{00000000-0005-0000-0000-00005C070000}"/>
    <cellStyle name="Total 3 2 2 2 2 2 2" xfId="1646" xr:uid="{00000000-0005-0000-0000-00005D070000}"/>
    <cellStyle name="Total 3 2 2 2 2 3" xfId="975" xr:uid="{00000000-0005-0000-0000-00005E070000}"/>
    <cellStyle name="Total 3 2 2 2 2 3 2" xfId="1766" xr:uid="{00000000-0005-0000-0000-00005F070000}"/>
    <cellStyle name="Total 3 2 2 2 2 4" xfId="999" xr:uid="{00000000-0005-0000-0000-000060070000}"/>
    <cellStyle name="Total 3 2 2 2 2 4 2" xfId="1790" xr:uid="{00000000-0005-0000-0000-000061070000}"/>
    <cellStyle name="Total 3 2 2 2 2 5" xfId="1119" xr:uid="{00000000-0005-0000-0000-000062070000}"/>
    <cellStyle name="Total 3 2 2 2 2 5 2" xfId="1910" xr:uid="{00000000-0005-0000-0000-000063070000}"/>
    <cellStyle name="Total 3 2 2 2 2 6" xfId="1239" xr:uid="{00000000-0005-0000-0000-000064070000}"/>
    <cellStyle name="Total 3 2 2 2 2 6 2" xfId="2030" xr:uid="{00000000-0005-0000-0000-000065070000}"/>
    <cellStyle name="Total 3 2 2 2 2 7" xfId="1430" xr:uid="{00000000-0005-0000-0000-000066070000}"/>
    <cellStyle name="Total 3 2 2 2 3" xfId="774" xr:uid="{00000000-0005-0000-0000-000067070000}"/>
    <cellStyle name="Total 3 2 2 2 3 2" xfId="1565" xr:uid="{00000000-0005-0000-0000-000068070000}"/>
    <cellStyle name="Total 3 2 2 2 4" xfId="895" xr:uid="{00000000-0005-0000-0000-000069070000}"/>
    <cellStyle name="Total 3 2 2 2 4 2" xfId="1686" xr:uid="{00000000-0005-0000-0000-00006A070000}"/>
    <cellStyle name="Total 3 2 2 2 5" xfId="984" xr:uid="{00000000-0005-0000-0000-00006B070000}"/>
    <cellStyle name="Total 3 2 2 2 5 2" xfId="1775" xr:uid="{00000000-0005-0000-0000-00006C070000}"/>
    <cellStyle name="Total 3 2 2 2 6" xfId="1039" xr:uid="{00000000-0005-0000-0000-00006D070000}"/>
    <cellStyle name="Total 3 2 2 2 6 2" xfId="1830" xr:uid="{00000000-0005-0000-0000-00006E070000}"/>
    <cellStyle name="Total 3 2 2 2 7" xfId="1159" xr:uid="{00000000-0005-0000-0000-00006F070000}"/>
    <cellStyle name="Total 3 2 2 2 7 2" xfId="1950" xr:uid="{00000000-0005-0000-0000-000070070000}"/>
    <cellStyle name="Total 3 2 2 2 8" xfId="1350" xr:uid="{00000000-0005-0000-0000-000071070000}"/>
    <cellStyle name="Total 3 2 2 3" xfId="599" xr:uid="{00000000-0005-0000-0000-000072070000}"/>
    <cellStyle name="Total 3 2 2 3 2" xfId="815" xr:uid="{00000000-0005-0000-0000-000073070000}"/>
    <cellStyle name="Total 3 2 2 3 2 2" xfId="1606" xr:uid="{00000000-0005-0000-0000-000074070000}"/>
    <cellStyle name="Total 3 2 2 3 3" xfId="935" xr:uid="{00000000-0005-0000-0000-000075070000}"/>
    <cellStyle name="Total 3 2 2 3 3 2" xfId="1726" xr:uid="{00000000-0005-0000-0000-000076070000}"/>
    <cellStyle name="Total 3 2 2 3 4" xfId="776" xr:uid="{00000000-0005-0000-0000-000077070000}"/>
    <cellStyle name="Total 3 2 2 3 4 2" xfId="1567" xr:uid="{00000000-0005-0000-0000-000078070000}"/>
    <cellStyle name="Total 3 2 2 3 5" xfId="1079" xr:uid="{00000000-0005-0000-0000-000079070000}"/>
    <cellStyle name="Total 3 2 2 3 5 2" xfId="1870" xr:uid="{00000000-0005-0000-0000-00007A070000}"/>
    <cellStyle name="Total 3 2 2 3 6" xfId="1199" xr:uid="{00000000-0005-0000-0000-00007B070000}"/>
    <cellStyle name="Total 3 2 2 3 6 2" xfId="1990" xr:uid="{00000000-0005-0000-0000-00007C070000}"/>
    <cellStyle name="Total 3 2 2 3 7" xfId="1390" xr:uid="{00000000-0005-0000-0000-00007D070000}"/>
    <cellStyle name="Total 3 2 2 4" xfId="1310" xr:uid="{00000000-0005-0000-0000-00007E070000}"/>
    <cellStyle name="Total 3 2 3" xfId="555" xr:uid="{00000000-0005-0000-0000-00007F070000}"/>
    <cellStyle name="Total 3 2 3 2" xfId="638" xr:uid="{00000000-0005-0000-0000-000080070000}"/>
    <cellStyle name="Total 3 2 3 2 2" xfId="854" xr:uid="{00000000-0005-0000-0000-000081070000}"/>
    <cellStyle name="Total 3 2 3 2 2 2" xfId="1645" xr:uid="{00000000-0005-0000-0000-000082070000}"/>
    <cellStyle name="Total 3 2 3 2 3" xfId="974" xr:uid="{00000000-0005-0000-0000-000083070000}"/>
    <cellStyle name="Total 3 2 3 2 3 2" xfId="1765" xr:uid="{00000000-0005-0000-0000-000084070000}"/>
    <cellStyle name="Total 3 2 3 2 4" xfId="998" xr:uid="{00000000-0005-0000-0000-000085070000}"/>
    <cellStyle name="Total 3 2 3 2 4 2" xfId="1789" xr:uid="{00000000-0005-0000-0000-000086070000}"/>
    <cellStyle name="Total 3 2 3 2 5" xfId="1118" xr:uid="{00000000-0005-0000-0000-000087070000}"/>
    <cellStyle name="Total 3 2 3 2 5 2" xfId="1909" xr:uid="{00000000-0005-0000-0000-000088070000}"/>
    <cellStyle name="Total 3 2 3 2 6" xfId="1238" xr:uid="{00000000-0005-0000-0000-000089070000}"/>
    <cellStyle name="Total 3 2 3 2 6 2" xfId="2029" xr:uid="{00000000-0005-0000-0000-00008A070000}"/>
    <cellStyle name="Total 3 2 3 2 7" xfId="1429" xr:uid="{00000000-0005-0000-0000-00008B070000}"/>
    <cellStyle name="Total 3 2 3 3" xfId="773" xr:uid="{00000000-0005-0000-0000-00008C070000}"/>
    <cellStyle name="Total 3 2 3 3 2" xfId="1564" xr:uid="{00000000-0005-0000-0000-00008D070000}"/>
    <cellStyle name="Total 3 2 3 4" xfId="894" xr:uid="{00000000-0005-0000-0000-00008E070000}"/>
    <cellStyle name="Total 3 2 3 4 2" xfId="1685" xr:uid="{00000000-0005-0000-0000-00008F070000}"/>
    <cellStyle name="Total 3 2 3 5" xfId="718" xr:uid="{00000000-0005-0000-0000-000090070000}"/>
    <cellStyle name="Total 3 2 3 5 2" xfId="1509" xr:uid="{00000000-0005-0000-0000-000091070000}"/>
    <cellStyle name="Total 3 2 3 6" xfId="1038" xr:uid="{00000000-0005-0000-0000-000092070000}"/>
    <cellStyle name="Total 3 2 3 6 2" xfId="1829" xr:uid="{00000000-0005-0000-0000-000093070000}"/>
    <cellStyle name="Total 3 2 3 7" xfId="1158" xr:uid="{00000000-0005-0000-0000-000094070000}"/>
    <cellStyle name="Total 3 2 3 7 2" xfId="1949" xr:uid="{00000000-0005-0000-0000-000095070000}"/>
    <cellStyle name="Total 3 2 3 8" xfId="1349" xr:uid="{00000000-0005-0000-0000-000096070000}"/>
    <cellStyle name="Total 3 2 4" xfId="579" xr:uid="{00000000-0005-0000-0000-000097070000}"/>
    <cellStyle name="Total 3 2 4 2" xfId="795" xr:uid="{00000000-0005-0000-0000-000098070000}"/>
    <cellStyle name="Total 3 2 4 2 2" xfId="1586" xr:uid="{00000000-0005-0000-0000-000099070000}"/>
    <cellStyle name="Total 3 2 4 3" xfId="915" xr:uid="{00000000-0005-0000-0000-00009A070000}"/>
    <cellStyle name="Total 3 2 4 3 2" xfId="1706" xr:uid="{00000000-0005-0000-0000-00009B070000}"/>
    <cellStyle name="Total 3 2 4 4" xfId="987" xr:uid="{00000000-0005-0000-0000-00009C070000}"/>
    <cellStyle name="Total 3 2 4 4 2" xfId="1778" xr:uid="{00000000-0005-0000-0000-00009D070000}"/>
    <cellStyle name="Total 3 2 4 5" xfId="1059" xr:uid="{00000000-0005-0000-0000-00009E070000}"/>
    <cellStyle name="Total 3 2 4 5 2" xfId="1850" xr:uid="{00000000-0005-0000-0000-00009F070000}"/>
    <cellStyle name="Total 3 2 4 6" xfId="1179" xr:uid="{00000000-0005-0000-0000-0000A0070000}"/>
    <cellStyle name="Total 3 2 4 6 2" xfId="1970" xr:uid="{00000000-0005-0000-0000-0000A1070000}"/>
    <cellStyle name="Total 3 2 4 7" xfId="1370" xr:uid="{00000000-0005-0000-0000-0000A2070000}"/>
    <cellStyle name="Total 3 2 5" xfId="1290" xr:uid="{00000000-0005-0000-0000-0000A3070000}"/>
    <cellStyle name="Total 3 3" xfId="505" xr:uid="{00000000-0005-0000-0000-0000A4070000}"/>
    <cellStyle name="Total 3 3 2" xfId="557" xr:uid="{00000000-0005-0000-0000-0000A5070000}"/>
    <cellStyle name="Total 3 3 2 2" xfId="640" xr:uid="{00000000-0005-0000-0000-0000A6070000}"/>
    <cellStyle name="Total 3 3 2 2 2" xfId="856" xr:uid="{00000000-0005-0000-0000-0000A7070000}"/>
    <cellStyle name="Total 3 3 2 2 2 2" xfId="1647" xr:uid="{00000000-0005-0000-0000-0000A8070000}"/>
    <cellStyle name="Total 3 3 2 2 3" xfId="976" xr:uid="{00000000-0005-0000-0000-0000A9070000}"/>
    <cellStyle name="Total 3 3 2 2 3 2" xfId="1767" xr:uid="{00000000-0005-0000-0000-0000AA070000}"/>
    <cellStyle name="Total 3 3 2 2 4" xfId="1000" xr:uid="{00000000-0005-0000-0000-0000AB070000}"/>
    <cellStyle name="Total 3 3 2 2 4 2" xfId="1791" xr:uid="{00000000-0005-0000-0000-0000AC070000}"/>
    <cellStyle name="Total 3 3 2 2 5" xfId="1120" xr:uid="{00000000-0005-0000-0000-0000AD070000}"/>
    <cellStyle name="Total 3 3 2 2 5 2" xfId="1911" xr:uid="{00000000-0005-0000-0000-0000AE070000}"/>
    <cellStyle name="Total 3 3 2 2 6" xfId="1240" xr:uid="{00000000-0005-0000-0000-0000AF070000}"/>
    <cellStyle name="Total 3 3 2 2 6 2" xfId="2031" xr:uid="{00000000-0005-0000-0000-0000B0070000}"/>
    <cellStyle name="Total 3 3 2 2 7" xfId="1431" xr:uid="{00000000-0005-0000-0000-0000B1070000}"/>
    <cellStyle name="Total 3 3 2 3" xfId="775" xr:uid="{00000000-0005-0000-0000-0000B2070000}"/>
    <cellStyle name="Total 3 3 2 3 2" xfId="1566" xr:uid="{00000000-0005-0000-0000-0000B3070000}"/>
    <cellStyle name="Total 3 3 2 4" xfId="896" xr:uid="{00000000-0005-0000-0000-0000B4070000}"/>
    <cellStyle name="Total 3 3 2 4 2" xfId="1687" xr:uid="{00000000-0005-0000-0000-0000B5070000}"/>
    <cellStyle name="Total 3 3 2 5" xfId="995" xr:uid="{00000000-0005-0000-0000-0000B6070000}"/>
    <cellStyle name="Total 3 3 2 5 2" xfId="1786" xr:uid="{00000000-0005-0000-0000-0000B7070000}"/>
    <cellStyle name="Total 3 3 2 6" xfId="1040" xr:uid="{00000000-0005-0000-0000-0000B8070000}"/>
    <cellStyle name="Total 3 3 2 6 2" xfId="1831" xr:uid="{00000000-0005-0000-0000-0000B9070000}"/>
    <cellStyle name="Total 3 3 2 7" xfId="1160" xr:uid="{00000000-0005-0000-0000-0000BA070000}"/>
    <cellStyle name="Total 3 3 2 7 2" xfId="1951" xr:uid="{00000000-0005-0000-0000-0000BB070000}"/>
    <cellStyle name="Total 3 3 2 8" xfId="1351" xr:uid="{00000000-0005-0000-0000-0000BC070000}"/>
    <cellStyle name="Total 3 3 3" xfId="589" xr:uid="{00000000-0005-0000-0000-0000BD070000}"/>
    <cellStyle name="Total 3 3 3 2" xfId="805" xr:uid="{00000000-0005-0000-0000-0000BE070000}"/>
    <cellStyle name="Total 3 3 3 2 2" xfId="1596" xr:uid="{00000000-0005-0000-0000-0000BF070000}"/>
    <cellStyle name="Total 3 3 3 3" xfId="925" xr:uid="{00000000-0005-0000-0000-0000C0070000}"/>
    <cellStyle name="Total 3 3 3 3 2" xfId="1716" xr:uid="{00000000-0005-0000-0000-0000C1070000}"/>
    <cellStyle name="Total 3 3 3 4" xfId="734" xr:uid="{00000000-0005-0000-0000-0000C2070000}"/>
    <cellStyle name="Total 3 3 3 4 2" xfId="1525" xr:uid="{00000000-0005-0000-0000-0000C3070000}"/>
    <cellStyle name="Total 3 3 3 5" xfId="1069" xr:uid="{00000000-0005-0000-0000-0000C4070000}"/>
    <cellStyle name="Total 3 3 3 5 2" xfId="1860" xr:uid="{00000000-0005-0000-0000-0000C5070000}"/>
    <cellStyle name="Total 3 3 3 6" xfId="1189" xr:uid="{00000000-0005-0000-0000-0000C6070000}"/>
    <cellStyle name="Total 3 3 3 6 2" xfId="1980" xr:uid="{00000000-0005-0000-0000-0000C7070000}"/>
    <cellStyle name="Total 3 3 3 7" xfId="1380" xr:uid="{00000000-0005-0000-0000-0000C8070000}"/>
    <cellStyle name="Total 3 3 4" xfId="1300" xr:uid="{00000000-0005-0000-0000-0000C9070000}"/>
    <cellStyle name="Total 3 4" xfId="554" xr:uid="{00000000-0005-0000-0000-0000CA070000}"/>
    <cellStyle name="Total 3 4 2" xfId="637" xr:uid="{00000000-0005-0000-0000-0000CB070000}"/>
    <cellStyle name="Total 3 4 2 2" xfId="853" xr:uid="{00000000-0005-0000-0000-0000CC070000}"/>
    <cellStyle name="Total 3 4 2 2 2" xfId="1644" xr:uid="{00000000-0005-0000-0000-0000CD070000}"/>
    <cellStyle name="Total 3 4 2 3" xfId="973" xr:uid="{00000000-0005-0000-0000-0000CE070000}"/>
    <cellStyle name="Total 3 4 2 3 2" xfId="1764" xr:uid="{00000000-0005-0000-0000-0000CF070000}"/>
    <cellStyle name="Total 3 4 2 4" xfId="653" xr:uid="{00000000-0005-0000-0000-0000D0070000}"/>
    <cellStyle name="Total 3 4 2 4 2" xfId="1444" xr:uid="{00000000-0005-0000-0000-0000D1070000}"/>
    <cellStyle name="Total 3 4 2 5" xfId="1117" xr:uid="{00000000-0005-0000-0000-0000D2070000}"/>
    <cellStyle name="Total 3 4 2 5 2" xfId="1908" xr:uid="{00000000-0005-0000-0000-0000D3070000}"/>
    <cellStyle name="Total 3 4 2 6" xfId="1237" xr:uid="{00000000-0005-0000-0000-0000D4070000}"/>
    <cellStyle name="Total 3 4 2 6 2" xfId="2028" xr:uid="{00000000-0005-0000-0000-0000D5070000}"/>
    <cellStyle name="Total 3 4 2 7" xfId="1428" xr:uid="{00000000-0005-0000-0000-0000D6070000}"/>
    <cellStyle name="Total 3 4 3" xfId="772" xr:uid="{00000000-0005-0000-0000-0000D7070000}"/>
    <cellStyle name="Total 3 4 3 2" xfId="1563" xr:uid="{00000000-0005-0000-0000-0000D8070000}"/>
    <cellStyle name="Total 3 4 4" xfId="893" xr:uid="{00000000-0005-0000-0000-0000D9070000}"/>
    <cellStyle name="Total 3 4 4 2" xfId="1684" xr:uid="{00000000-0005-0000-0000-0000DA070000}"/>
    <cellStyle name="Total 3 4 5" xfId="716" xr:uid="{00000000-0005-0000-0000-0000DB070000}"/>
    <cellStyle name="Total 3 4 5 2" xfId="1507" xr:uid="{00000000-0005-0000-0000-0000DC070000}"/>
    <cellStyle name="Total 3 4 6" xfId="1037" xr:uid="{00000000-0005-0000-0000-0000DD070000}"/>
    <cellStyle name="Total 3 4 6 2" xfId="1828" xr:uid="{00000000-0005-0000-0000-0000DE070000}"/>
    <cellStyle name="Total 3 4 7" xfId="1157" xr:uid="{00000000-0005-0000-0000-0000DF070000}"/>
    <cellStyle name="Total 3 4 7 2" xfId="1948" xr:uid="{00000000-0005-0000-0000-0000E0070000}"/>
    <cellStyle name="Total 3 4 8" xfId="1348" xr:uid="{00000000-0005-0000-0000-0000E1070000}"/>
    <cellStyle name="Total 3 5" xfId="569" xr:uid="{00000000-0005-0000-0000-0000E2070000}"/>
    <cellStyle name="Total 3 5 2" xfId="785" xr:uid="{00000000-0005-0000-0000-0000E3070000}"/>
    <cellStyle name="Total 3 5 2 2" xfId="1576" xr:uid="{00000000-0005-0000-0000-0000E4070000}"/>
    <cellStyle name="Total 3 5 3" xfId="905" xr:uid="{00000000-0005-0000-0000-0000E5070000}"/>
    <cellStyle name="Total 3 5 3 2" xfId="1696" xr:uid="{00000000-0005-0000-0000-0000E6070000}"/>
    <cellStyle name="Total 3 5 4" xfId="717" xr:uid="{00000000-0005-0000-0000-0000E7070000}"/>
    <cellStyle name="Total 3 5 4 2" xfId="1508" xr:uid="{00000000-0005-0000-0000-0000E8070000}"/>
    <cellStyle name="Total 3 5 5" xfId="1049" xr:uid="{00000000-0005-0000-0000-0000E9070000}"/>
    <cellStyle name="Total 3 5 5 2" xfId="1840" xr:uid="{00000000-0005-0000-0000-0000EA070000}"/>
    <cellStyle name="Total 3 5 6" xfId="1169" xr:uid="{00000000-0005-0000-0000-0000EB070000}"/>
    <cellStyle name="Total 3 5 6 2" xfId="1960" xr:uid="{00000000-0005-0000-0000-0000EC070000}"/>
    <cellStyle name="Total 3 5 7" xfId="1360" xr:uid="{00000000-0005-0000-0000-0000ED070000}"/>
    <cellStyle name="Total 3 6" xfId="1278" xr:uid="{00000000-0005-0000-0000-0000EE070000}"/>
    <cellStyle name="Warning Text 2" xfId="412" xr:uid="{00000000-0005-0000-0000-0000EF070000}"/>
    <cellStyle name="Warning Text 3" xfId="367" xr:uid="{00000000-0005-0000-0000-0000F0070000}"/>
  </cellStyles>
  <dxfs count="55">
    <dxf>
      <font>
        <b/>
        <i val="0"/>
        <color rgb="FFFF0000"/>
      </font>
    </dxf>
    <dxf>
      <font>
        <b/>
        <i val="0"/>
        <color rgb="FFFF0000"/>
      </font>
    </dxf>
    <dxf>
      <border>
        <left style="thin">
          <color auto="1"/>
        </left>
        <right style="hair">
          <color auto="1"/>
        </right>
        <top style="hair">
          <color auto="1"/>
        </top>
        <bottom style="hair">
          <color auto="1"/>
        </bottom>
        <vertical/>
        <horizontal/>
      </border>
    </dxf>
    <dxf>
      <border>
        <left style="thin">
          <color auto="1"/>
        </left>
        <right style="hair">
          <color auto="1"/>
        </right>
        <top style="hair">
          <color auto="1"/>
        </top>
        <bottom style="hair">
          <color auto="1"/>
        </bottom>
        <vertical/>
        <horizontal/>
      </border>
    </dxf>
    <dxf>
      <border>
        <left style="thin">
          <color auto="1"/>
        </left>
        <right style="hair">
          <color auto="1"/>
        </right>
        <top style="hair">
          <color auto="1"/>
        </top>
        <bottom style="hair">
          <color auto="1"/>
        </bottom>
        <vertical/>
        <horizontal/>
      </border>
    </dxf>
    <dxf>
      <border>
        <left style="thin">
          <color auto="1"/>
        </left>
        <right style="hair">
          <color auto="1"/>
        </right>
        <top style="hair">
          <color auto="1"/>
        </top>
        <bottom style="hair">
          <color auto="1"/>
        </bottom>
        <vertical/>
        <horizontal/>
      </border>
    </dxf>
    <dxf>
      <border>
        <left style="thin">
          <color auto="1"/>
        </left>
        <right style="hair">
          <color auto="1"/>
        </right>
        <top style="hair">
          <color auto="1"/>
        </top>
        <bottom style="hair">
          <color auto="1"/>
        </bottom>
        <vertical/>
        <horizontal/>
      </border>
    </dxf>
    <dxf>
      <border>
        <left style="thin">
          <color auto="1"/>
        </left>
        <right style="hair">
          <color auto="1"/>
        </right>
        <top style="hair">
          <color auto="1"/>
        </top>
        <bottom style="hair">
          <color auto="1"/>
        </bottom>
        <vertical/>
        <horizontal/>
      </border>
    </dxf>
    <dxf>
      <border>
        <left style="hair">
          <color auto="1"/>
        </left>
        <right style="thin">
          <color auto="1"/>
        </right>
        <top style="hair">
          <color auto="1"/>
        </top>
        <bottom style="hair">
          <color auto="1"/>
        </bottom>
        <vertical/>
        <horizontal/>
      </border>
    </dxf>
    <dxf>
      <fill>
        <gradientFill degree="90">
          <stop position="0">
            <color theme="0"/>
          </stop>
          <stop position="1">
            <color rgb="FF00B0F0"/>
          </stop>
        </gradientFill>
      </fill>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thin">
          <color auto="1"/>
        </left>
        <right style="hair">
          <color auto="1"/>
        </right>
        <top style="hair">
          <color auto="1"/>
        </top>
        <bottom style="hair">
          <color auto="1"/>
        </bottom>
        <vertical/>
        <horizontal/>
      </border>
    </dxf>
    <dxf>
      <fill>
        <gradientFill degree="90">
          <stop position="0">
            <color theme="0"/>
          </stop>
          <stop position="1">
            <color rgb="FF7030A0"/>
          </stop>
        </gradientFill>
      </fill>
      <border>
        <left style="hair">
          <color auto="1"/>
        </left>
        <right style="thin">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ill>
        <gradientFill degree="90">
          <stop position="0">
            <color theme="0"/>
          </stop>
          <stop position="1">
            <color rgb="FF0070C0"/>
          </stop>
        </gradientFill>
      </fill>
      <border>
        <left style="hair">
          <color auto="1"/>
        </left>
        <right style="hair">
          <color auto="1"/>
        </right>
        <top style="hair">
          <color auto="1"/>
        </top>
        <bottom style="hair">
          <color auto="1"/>
        </bottom>
        <vertical/>
        <horizontal/>
      </border>
    </dxf>
    <dxf>
      <fill>
        <gradientFill degree="90">
          <stop position="0">
            <color theme="0"/>
          </stop>
          <stop position="1">
            <color rgb="FF0070C0"/>
          </stop>
        </gradientFill>
      </fill>
      <border>
        <left style="hair">
          <color auto="1"/>
        </left>
        <right style="hair">
          <color auto="1"/>
        </right>
        <top style="hair">
          <color auto="1"/>
        </top>
        <bottom style="hair">
          <color auto="1"/>
        </bottom>
        <vertical/>
        <horizontal/>
      </border>
    </dxf>
    <dxf>
      <fill>
        <gradientFill degree="90">
          <stop position="0">
            <color theme="0"/>
          </stop>
          <stop position="1">
            <color rgb="FF00B050"/>
          </stop>
        </gradientFill>
      </fill>
      <border>
        <left style="hair">
          <color auto="1"/>
        </left>
        <right style="hair">
          <color auto="1"/>
        </right>
        <top style="hair">
          <color auto="1"/>
        </top>
        <bottom style="hair">
          <color auto="1"/>
        </bottom>
        <vertical/>
        <horizontal/>
      </border>
    </dxf>
    <dxf>
      <fill>
        <gradientFill degree="90">
          <stop position="0">
            <color theme="0"/>
          </stop>
          <stop position="1">
            <color rgb="FF92D050"/>
          </stop>
        </gradientFill>
      </fill>
      <border>
        <left style="thin">
          <color auto="1"/>
        </left>
        <right style="hair">
          <color auto="1"/>
        </right>
        <top style="hair">
          <color auto="1"/>
        </top>
        <bottom style="hair">
          <color auto="1"/>
        </bottom>
        <vertical/>
        <horizontal/>
      </border>
    </dxf>
    <dxf>
      <border>
        <left style="hair">
          <color auto="1"/>
        </left>
        <right style="thin">
          <color auto="1"/>
        </right>
        <top style="hair">
          <color auto="1"/>
        </top>
        <bottom style="hair">
          <color auto="1"/>
        </bottom>
        <vertical/>
        <horizontal/>
      </border>
    </dxf>
    <dxf>
      <fill>
        <gradientFill degree="90">
          <stop position="0">
            <color theme="0"/>
          </stop>
          <stop position="1">
            <color rgb="FF00B0F0"/>
          </stop>
        </gradientFill>
      </fill>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border>
        <left style="thin">
          <color auto="1"/>
        </left>
        <right style="hair">
          <color auto="1"/>
        </right>
        <top style="hair">
          <color auto="1"/>
        </top>
        <bottom style="hair">
          <color auto="1"/>
        </bottom>
        <vertical/>
        <horizontal/>
      </border>
    </dxf>
    <dxf>
      <fill>
        <gradientFill degree="90">
          <stop position="0">
            <color theme="0"/>
          </stop>
          <stop position="1">
            <color rgb="FF7030A0"/>
          </stop>
        </gradientFill>
      </fill>
      <border>
        <left style="hair">
          <color auto="1"/>
        </left>
        <right style="thin">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
      <fill>
        <gradientFill degree="90">
          <stop position="0">
            <color theme="0"/>
          </stop>
          <stop position="1">
            <color rgb="FF0070C0"/>
          </stop>
        </gradientFill>
      </fill>
      <border>
        <left style="hair">
          <color auto="1"/>
        </left>
        <right style="hair">
          <color auto="1"/>
        </right>
        <top style="hair">
          <color auto="1"/>
        </top>
        <bottom style="hair">
          <color auto="1"/>
        </bottom>
        <vertical/>
        <horizontal/>
      </border>
    </dxf>
    <dxf>
      <fill>
        <gradientFill degree="90">
          <stop position="0">
            <color theme="0"/>
          </stop>
          <stop position="1">
            <color rgb="FF0070C0"/>
          </stop>
        </gradientFill>
      </fill>
      <border>
        <left style="hair">
          <color auto="1"/>
        </left>
        <right style="hair">
          <color auto="1"/>
        </right>
        <top style="hair">
          <color auto="1"/>
        </top>
        <bottom style="hair">
          <color auto="1"/>
        </bottom>
        <vertical/>
        <horizontal/>
      </border>
    </dxf>
    <dxf>
      <fill>
        <gradientFill degree="90">
          <stop position="0">
            <color theme="0"/>
          </stop>
          <stop position="1">
            <color rgb="FF00B050"/>
          </stop>
        </gradientFill>
      </fill>
      <border>
        <left style="hair">
          <color auto="1"/>
        </left>
        <right style="hair">
          <color auto="1"/>
        </right>
        <top style="hair">
          <color auto="1"/>
        </top>
        <bottom style="hair">
          <color auto="1"/>
        </bottom>
        <vertical/>
        <horizontal/>
      </border>
    </dxf>
    <dxf>
      <fill>
        <gradientFill degree="90">
          <stop position="0">
            <color theme="0"/>
          </stop>
          <stop position="1">
            <color rgb="FF92D050"/>
          </stop>
        </gradientFill>
      </fill>
      <border>
        <left style="thin">
          <color auto="1"/>
        </left>
        <right style="hair">
          <color auto="1"/>
        </right>
        <top style="hair">
          <color auto="1"/>
        </top>
        <bottom style="hair">
          <color auto="1"/>
        </bottom>
        <vertical/>
        <horizontal/>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B050"/>
      </font>
    </dxf>
    <dxf>
      <font>
        <b/>
        <i val="0"/>
        <color rgb="FFFF0000"/>
      </font>
    </dxf>
    <dxf>
      <fill>
        <patternFill>
          <bgColor theme="0" tint="-4.9989318521683403E-2"/>
        </patternFill>
      </fill>
      <border>
        <left/>
        <right/>
        <top/>
        <bottom/>
      </border>
    </dxf>
    <dxf>
      <font>
        <color theme="0" tint="-0.24994659260841701"/>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D7053240-CE69-11CD-A777-00DD01143C57}"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Investment</a:t>
            </a:r>
            <a:r>
              <a:rPr lang="en-US" baseline="0"/>
              <a:t> Budget vs. Cost</a:t>
            </a:r>
            <a:endParaRPr lang="en-US"/>
          </a:p>
        </c:rich>
      </c:tx>
      <c:overlay val="0"/>
    </c:title>
    <c:autoTitleDeleted val="0"/>
    <c:plotArea>
      <c:layout/>
      <c:barChart>
        <c:barDir val="bar"/>
        <c:grouping val="clustered"/>
        <c:varyColors val="0"/>
        <c:ser>
          <c:idx val="0"/>
          <c:order val="0"/>
          <c:tx>
            <c:v>Investment Cost</c:v>
          </c:tx>
          <c:spPr>
            <a:solidFill>
              <a:schemeClr val="accent2"/>
            </a:solidFill>
          </c:spPr>
          <c:invertIfNegative val="0"/>
          <c:cat>
            <c:strRef>
              <c:f>'Bicycle Parking Invest. Input'!$F$75:$G$75</c:f>
              <c:strCache>
                <c:ptCount val="2"/>
                <c:pt idx="0">
                  <c:v>Capital</c:v>
                </c:pt>
                <c:pt idx="1">
                  <c:v>Annual Operating</c:v>
                </c:pt>
              </c:strCache>
            </c:strRef>
          </c:cat>
          <c:val>
            <c:numRef>
              <c:f>'Bicycle Parking Invest. Input'!$F$93:$G$93</c:f>
              <c:numCache>
                <c:formatCode>"$"#,##0_);\("$"#,##0\)</c:formatCode>
                <c:ptCount val="2"/>
                <c:pt idx="0">
                  <c:v>640370.19230769225</c:v>
                </c:pt>
                <c:pt idx="1">
                  <c:v>99600</c:v>
                </c:pt>
              </c:numCache>
            </c:numRef>
          </c:val>
          <c:extLst>
            <c:ext xmlns:c16="http://schemas.microsoft.com/office/drawing/2014/chart" uri="{C3380CC4-5D6E-409C-BE32-E72D297353CC}">
              <c16:uniqueId val="{00000000-4304-48CC-B6C1-307850A07EDE}"/>
            </c:ext>
          </c:extLst>
        </c:ser>
        <c:ser>
          <c:idx val="1"/>
          <c:order val="1"/>
          <c:tx>
            <c:v>Investment Budget</c:v>
          </c:tx>
          <c:spPr>
            <a:solidFill>
              <a:schemeClr val="accent1"/>
            </a:solidFill>
          </c:spPr>
          <c:invertIfNegative val="0"/>
          <c:cat>
            <c:strRef>
              <c:f>'Bicycle Parking Invest. Input'!$F$75:$G$75</c:f>
              <c:strCache>
                <c:ptCount val="2"/>
                <c:pt idx="0">
                  <c:v>Capital</c:v>
                </c:pt>
                <c:pt idx="1">
                  <c:v>Annual Operating</c:v>
                </c:pt>
              </c:strCache>
            </c:strRef>
          </c:cat>
          <c:val>
            <c:numRef>
              <c:f>'Bicycle Parking Invest. Input'!$N$3:$O$3</c:f>
              <c:numCache>
                <c:formatCode>"$"#,##0</c:formatCode>
                <c:ptCount val="2"/>
                <c:pt idx="0">
                  <c:v>250000</c:v>
                </c:pt>
                <c:pt idx="1">
                  <c:v>7500</c:v>
                </c:pt>
              </c:numCache>
            </c:numRef>
          </c:val>
          <c:extLst>
            <c:ext xmlns:c16="http://schemas.microsoft.com/office/drawing/2014/chart" uri="{C3380CC4-5D6E-409C-BE32-E72D297353CC}">
              <c16:uniqueId val="{00000001-4304-48CC-B6C1-307850A07EDE}"/>
            </c:ext>
          </c:extLst>
        </c:ser>
        <c:dLbls>
          <c:showLegendKey val="0"/>
          <c:showVal val="0"/>
          <c:showCatName val="0"/>
          <c:showSerName val="0"/>
          <c:showPercent val="0"/>
          <c:showBubbleSize val="0"/>
        </c:dLbls>
        <c:gapWidth val="150"/>
        <c:axId val="147223680"/>
        <c:axId val="147225984"/>
      </c:barChart>
      <c:catAx>
        <c:axId val="147223680"/>
        <c:scaling>
          <c:orientation val="minMax"/>
        </c:scaling>
        <c:delete val="0"/>
        <c:axPos val="l"/>
        <c:numFmt formatCode="General" sourceLinked="0"/>
        <c:majorTickMark val="out"/>
        <c:minorTickMark val="none"/>
        <c:tickLblPos val="nextTo"/>
        <c:txPr>
          <a:bodyPr/>
          <a:lstStyle/>
          <a:p>
            <a:pPr>
              <a:defRPr sz="1100">
                <a:latin typeface="Arial" pitchFamily="34" charset="0"/>
                <a:cs typeface="Arial" pitchFamily="34" charset="0"/>
              </a:defRPr>
            </a:pPr>
            <a:endParaRPr lang="en-US"/>
          </a:p>
        </c:txPr>
        <c:crossAx val="147225984"/>
        <c:crosses val="autoZero"/>
        <c:auto val="1"/>
        <c:lblAlgn val="ctr"/>
        <c:lblOffset val="100"/>
        <c:noMultiLvlLbl val="0"/>
      </c:catAx>
      <c:valAx>
        <c:axId val="147225984"/>
        <c:scaling>
          <c:orientation val="minMax"/>
        </c:scaling>
        <c:delete val="0"/>
        <c:axPos val="b"/>
        <c:majorGridlines/>
        <c:numFmt formatCode="&quot;$&quot;#,##0_);\(&quot;$&quot;#,##0\)" sourceLinked="1"/>
        <c:majorTickMark val="out"/>
        <c:minorTickMark val="none"/>
        <c:tickLblPos val="nextTo"/>
        <c:txPr>
          <a:bodyPr/>
          <a:lstStyle/>
          <a:p>
            <a:pPr>
              <a:defRPr sz="1100">
                <a:latin typeface="Arial" pitchFamily="34" charset="0"/>
                <a:cs typeface="Arial" pitchFamily="34" charset="0"/>
              </a:defRPr>
            </a:pPr>
            <a:endParaRPr lang="en-US"/>
          </a:p>
        </c:txPr>
        <c:crossAx val="147223680"/>
        <c:crosses val="autoZero"/>
        <c:crossBetween val="between"/>
        <c:dispUnits>
          <c:builtInUnit val="thousands"/>
          <c:dispUnitsLbl>
            <c:txPr>
              <a:bodyPr/>
              <a:lstStyle/>
              <a:p>
                <a:pPr>
                  <a:defRPr sz="1100">
                    <a:latin typeface="Arial" pitchFamily="34" charset="0"/>
                    <a:cs typeface="Arial" pitchFamily="34" charset="0"/>
                  </a:defRPr>
                </a:pPr>
                <a:endParaRPr lang="en-US"/>
              </a:p>
            </c:txPr>
          </c:dispUnitsLbl>
        </c:dispUnits>
      </c:valAx>
      <c:spPr>
        <a:noFill/>
        <a:ln>
          <a:noFill/>
        </a:ln>
      </c:spPr>
    </c:plotArea>
    <c:legend>
      <c:legendPos val="r"/>
      <c:overlay val="0"/>
      <c:txPr>
        <a:bodyPr/>
        <a:lstStyle/>
        <a:p>
          <a:pPr>
            <a:defRPr sz="1100">
              <a:latin typeface="Arial" pitchFamily="34" charset="0"/>
              <a:cs typeface="Arial" pitchFamily="34" charset="0"/>
            </a:defRPr>
          </a:pPr>
          <a:endParaRPr lang="en-US"/>
        </a:p>
      </c:txPr>
    </c:legend>
    <c:plotVisOnly val="0"/>
    <c:dispBlanksAs val="gap"/>
    <c:showDLblsOverMax val="0"/>
  </c:chart>
  <c:spPr>
    <a:noFill/>
    <a:ln>
      <a:noFill/>
    </a:ln>
  </c:spPr>
  <c:printSettings>
    <c:headerFooter/>
    <c:pageMargins b="0.75000000000001343" l="0.70000000000000062" r="0.70000000000000062" t="0.750000000000013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2"/>
          <c:invertIfNegative val="0"/>
          <c:val>
            <c:numRef>
              <c:f>'Bicycle Parking Invest. Summary'!$AJ$48:$AJ$53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D94-4A80-B674-C27CD1F358A4}"/>
            </c:ext>
          </c:extLst>
        </c:ser>
        <c:ser>
          <c:idx val="1"/>
          <c:order val="3"/>
          <c:tx>
            <c:strRef>
              <c:f>'Bicycle Parking Invest. Summary'!$AE$47</c:f>
              <c:strCache>
                <c:ptCount val="1"/>
                <c:pt idx="0">
                  <c:v>Top 3 Preferred</c:v>
                </c:pt>
              </c:strCache>
            </c:strRef>
          </c:tx>
          <c:invertIfNegative val="0"/>
          <c:cat>
            <c:strRef>
              <c:f>'Bicycle Parking Invest. Summary'!$AB$48:$AB$53</c:f>
              <c:strCache>
                <c:ptCount val="6"/>
                <c:pt idx="0">
                  <c:v>Racks inside fare gates</c:v>
                </c:pt>
                <c:pt idx="1">
                  <c:v>Racks outside fare gates</c:v>
                </c:pt>
                <c:pt idx="2">
                  <c:v>Keyed Lockers</c:v>
                </c:pt>
                <c:pt idx="3">
                  <c:v>Electronic Lockers</c:v>
                </c:pt>
                <c:pt idx="4">
                  <c:v>Self Serve Bike station</c:v>
                </c:pt>
                <c:pt idx="5">
                  <c:v>Attended Bike Station</c:v>
                </c:pt>
              </c:strCache>
            </c:strRef>
          </c:cat>
          <c:val>
            <c:numRef>
              <c:f>'Bicycle Parking Invest. Summary'!$AE$48:$AE$53</c:f>
              <c:numCache>
                <c:formatCode>0%</c:formatCode>
                <c:ptCount val="6"/>
                <c:pt idx="0">
                  <c:v>0.57999999999999996</c:v>
                </c:pt>
                <c:pt idx="1">
                  <c:v>0.2</c:v>
                </c:pt>
                <c:pt idx="2">
                  <c:v>0.32</c:v>
                </c:pt>
                <c:pt idx="3">
                  <c:v>0.6</c:v>
                </c:pt>
                <c:pt idx="4">
                  <c:v>0.57999999999999996</c:v>
                </c:pt>
                <c:pt idx="5">
                  <c:v>0.71999999999999975</c:v>
                </c:pt>
              </c:numCache>
            </c:numRef>
          </c:val>
          <c:extLst>
            <c:ext xmlns:c16="http://schemas.microsoft.com/office/drawing/2014/chart" uri="{C3380CC4-5D6E-409C-BE32-E72D297353CC}">
              <c16:uniqueId val="{00000001-CD94-4A80-B674-C27CD1F358A4}"/>
            </c:ext>
          </c:extLst>
        </c:ser>
        <c:dLbls>
          <c:showLegendKey val="0"/>
          <c:showVal val="0"/>
          <c:showCatName val="0"/>
          <c:showSerName val="0"/>
          <c:showPercent val="0"/>
          <c:showBubbleSize val="0"/>
        </c:dLbls>
        <c:gapWidth val="150"/>
        <c:axId val="176963584"/>
        <c:axId val="176965504"/>
      </c:barChart>
      <c:barChart>
        <c:barDir val="col"/>
        <c:grouping val="clustered"/>
        <c:varyColors val="0"/>
        <c:ser>
          <c:idx val="0"/>
          <c:order val="0"/>
          <c:tx>
            <c:strRef>
              <c:f>'Bicycle Parking Invest. Summary'!$AC$47</c:f>
              <c:strCache>
                <c:ptCount val="1"/>
                <c:pt idx="0">
                  <c:v>Pre-Investment Occupancy</c:v>
                </c:pt>
              </c:strCache>
            </c:strRef>
          </c:tx>
          <c:invertIfNegative val="0"/>
          <c:cat>
            <c:strRef>
              <c:f>'Bicycle Parking Invest. Summary'!$AB$48:$AB$53</c:f>
              <c:strCache>
                <c:ptCount val="6"/>
                <c:pt idx="0">
                  <c:v>Racks inside fare gates</c:v>
                </c:pt>
                <c:pt idx="1">
                  <c:v>Racks outside fare gates</c:v>
                </c:pt>
                <c:pt idx="2">
                  <c:v>Keyed Lockers</c:v>
                </c:pt>
                <c:pt idx="3">
                  <c:v>Electronic Lockers</c:v>
                </c:pt>
                <c:pt idx="4">
                  <c:v>Self Serve Bike station</c:v>
                </c:pt>
                <c:pt idx="5">
                  <c:v>Attended Bike Station</c:v>
                </c:pt>
              </c:strCache>
            </c:strRef>
          </c:cat>
          <c:val>
            <c:numRef>
              <c:f>'Bicycle Parking Invest. Summary'!$AC$48:$AC$53</c:f>
              <c:numCache>
                <c:formatCode>0%</c:formatCode>
                <c:ptCount val="6"/>
                <c:pt idx="0">
                  <c:v>0</c:v>
                </c:pt>
                <c:pt idx="1">
                  <c:v>0.86</c:v>
                </c:pt>
                <c:pt idx="2">
                  <c:v>0</c:v>
                </c:pt>
                <c:pt idx="3">
                  <c:v>0.91</c:v>
                </c:pt>
                <c:pt idx="4">
                  <c:v>0</c:v>
                </c:pt>
                <c:pt idx="5">
                  <c:v>0</c:v>
                </c:pt>
              </c:numCache>
            </c:numRef>
          </c:val>
          <c:extLst>
            <c:ext xmlns:c16="http://schemas.microsoft.com/office/drawing/2014/chart" uri="{C3380CC4-5D6E-409C-BE32-E72D297353CC}">
              <c16:uniqueId val="{00000002-CD94-4A80-B674-C27CD1F358A4}"/>
            </c:ext>
          </c:extLst>
        </c:ser>
        <c:ser>
          <c:idx val="2"/>
          <c:order val="1"/>
          <c:invertIfNegative val="0"/>
          <c:val>
            <c:numRef>
              <c:f>'Bicycle Parking Invest. Summary'!$AI$48:$AI$53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CD94-4A80-B674-C27CD1F358A4}"/>
            </c:ext>
          </c:extLst>
        </c:ser>
        <c:dLbls>
          <c:showLegendKey val="0"/>
          <c:showVal val="0"/>
          <c:showCatName val="0"/>
          <c:showSerName val="0"/>
          <c:showPercent val="0"/>
          <c:showBubbleSize val="0"/>
        </c:dLbls>
        <c:gapWidth val="150"/>
        <c:axId val="67524480"/>
        <c:axId val="67522560"/>
      </c:barChart>
      <c:catAx>
        <c:axId val="176963584"/>
        <c:scaling>
          <c:orientation val="minMax"/>
        </c:scaling>
        <c:delete val="0"/>
        <c:axPos val="b"/>
        <c:majorTickMark val="out"/>
        <c:minorTickMark val="none"/>
        <c:tickLblPos val="nextTo"/>
        <c:txPr>
          <a:bodyPr/>
          <a:lstStyle/>
          <a:p>
            <a:pPr>
              <a:defRPr sz="1400"/>
            </a:pPr>
            <a:endParaRPr lang="en-US"/>
          </a:p>
        </c:txPr>
        <c:crossAx val="176965504"/>
        <c:crosses val="autoZero"/>
        <c:auto val="1"/>
        <c:lblAlgn val="ctr"/>
        <c:lblOffset val="100"/>
        <c:noMultiLvlLbl val="0"/>
      </c:catAx>
      <c:valAx>
        <c:axId val="176965504"/>
        <c:scaling>
          <c:orientation val="minMax"/>
          <c:max val="1"/>
          <c:min val="0"/>
        </c:scaling>
        <c:delete val="0"/>
        <c:axPos val="l"/>
        <c:majorGridlines/>
        <c:title>
          <c:tx>
            <c:rich>
              <a:bodyPr rot="-5400000" vert="horz"/>
              <a:lstStyle/>
              <a:p>
                <a:pPr>
                  <a:defRPr sz="1400" b="1">
                    <a:solidFill>
                      <a:schemeClr val="accent2"/>
                    </a:solidFill>
                  </a:defRPr>
                </a:pPr>
                <a:r>
                  <a:rPr lang="en-US" sz="1400" b="1">
                    <a:solidFill>
                      <a:schemeClr val="accent2"/>
                    </a:solidFill>
                  </a:rPr>
                  <a:t>Percentage of all surveys</a:t>
                </a:r>
              </a:p>
            </c:rich>
          </c:tx>
          <c:overlay val="0"/>
        </c:title>
        <c:numFmt formatCode="0%" sourceLinked="0"/>
        <c:majorTickMark val="out"/>
        <c:minorTickMark val="none"/>
        <c:tickLblPos val="nextTo"/>
        <c:spPr>
          <a:noFill/>
        </c:spPr>
        <c:txPr>
          <a:bodyPr/>
          <a:lstStyle/>
          <a:p>
            <a:pPr>
              <a:defRPr sz="1400">
                <a:solidFill>
                  <a:schemeClr val="accent2"/>
                </a:solidFill>
              </a:defRPr>
            </a:pPr>
            <a:endParaRPr lang="en-US"/>
          </a:p>
        </c:txPr>
        <c:crossAx val="176963584"/>
        <c:crosses val="autoZero"/>
        <c:crossBetween val="between"/>
      </c:valAx>
      <c:valAx>
        <c:axId val="67522560"/>
        <c:scaling>
          <c:orientation val="minMax"/>
        </c:scaling>
        <c:delete val="0"/>
        <c:axPos val="r"/>
        <c:title>
          <c:tx>
            <c:rich>
              <a:bodyPr rot="5400000" vert="horz"/>
              <a:lstStyle/>
              <a:p>
                <a:pPr>
                  <a:defRPr/>
                </a:pPr>
                <a:r>
                  <a:rPr lang="en-US" sz="1400">
                    <a:solidFill>
                      <a:schemeClr val="accent1"/>
                    </a:solidFill>
                  </a:rPr>
                  <a:t>Pre-Investment Occupancy</a:t>
                </a:r>
              </a:p>
            </c:rich>
          </c:tx>
          <c:overlay val="0"/>
        </c:title>
        <c:numFmt formatCode="0%" sourceLinked="1"/>
        <c:majorTickMark val="out"/>
        <c:minorTickMark val="none"/>
        <c:tickLblPos val="nextTo"/>
        <c:txPr>
          <a:bodyPr/>
          <a:lstStyle/>
          <a:p>
            <a:pPr>
              <a:defRPr sz="1400">
                <a:solidFill>
                  <a:srgbClr val="4F81BD"/>
                </a:solidFill>
              </a:defRPr>
            </a:pPr>
            <a:endParaRPr lang="en-US"/>
          </a:p>
        </c:txPr>
        <c:crossAx val="67524480"/>
        <c:crosses val="max"/>
        <c:crossBetween val="between"/>
      </c:valAx>
      <c:catAx>
        <c:axId val="67524480"/>
        <c:scaling>
          <c:orientation val="minMax"/>
        </c:scaling>
        <c:delete val="1"/>
        <c:axPos val="b"/>
        <c:numFmt formatCode="General" sourceLinked="1"/>
        <c:majorTickMark val="out"/>
        <c:minorTickMark val="none"/>
        <c:tickLblPos val="none"/>
        <c:crossAx val="67522560"/>
        <c:crosses val="autoZero"/>
        <c:auto val="1"/>
        <c:lblAlgn val="ctr"/>
        <c:lblOffset val="100"/>
        <c:noMultiLvlLbl val="0"/>
      </c:catAx>
      <c:spPr>
        <a:noFill/>
      </c:spPr>
    </c:plotArea>
    <c:legend>
      <c:legendPos val="t"/>
      <c:legendEntry>
        <c:idx val="0"/>
        <c:delete val="1"/>
      </c:legendEntry>
      <c:legendEntry>
        <c:idx val="3"/>
        <c:delete val="1"/>
      </c:legendEntry>
      <c:overlay val="0"/>
      <c:txPr>
        <a:bodyPr/>
        <a:lstStyle/>
        <a:p>
          <a:pPr>
            <a:defRPr sz="1400"/>
          </a:pPr>
          <a:endParaRPr lang="en-US"/>
        </a:p>
      </c:txPr>
    </c:legend>
    <c:plotVisOnly val="0"/>
    <c:dispBlanksAs val="gap"/>
    <c:showDLblsOverMax val="0"/>
  </c:chart>
  <c:spPr>
    <a:noFill/>
    <a:ln>
      <a:noFill/>
    </a:ln>
    <a:effectLst>
      <a:outerShdw blurRad="50800" dist="50800" dir="5400000" algn="ctr" rotWithShape="0">
        <a:srgbClr val="000000">
          <a:alpha val="0"/>
        </a:srgbClr>
      </a:outerShdw>
    </a:effectLst>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'Bicycle Parking Invest. Summary'!$AB$68</c:f>
              <c:strCache>
                <c:ptCount val="1"/>
                <c:pt idx="0">
                  <c:v>Daily Bicycle Access Ridership</c:v>
                </c:pt>
              </c:strCache>
            </c:strRef>
          </c:tx>
          <c:cat>
            <c:strRef>
              <c:f>'Bicycle Parking Invest. Summary'!$AC$65:$AJ$65</c:f>
              <c:strCache>
                <c:ptCount val="8"/>
                <c:pt idx="0">
                  <c:v>Pre-invest.</c:v>
                </c:pt>
                <c:pt idx="1">
                  <c:v>Racks inside fare gates</c:v>
                </c:pt>
                <c:pt idx="2">
                  <c:v>Racks outside fare gates</c:v>
                </c:pt>
                <c:pt idx="3">
                  <c:v>Keyed Lockers</c:v>
                </c:pt>
                <c:pt idx="4">
                  <c:v>Electronic Lockers</c:v>
                </c:pt>
                <c:pt idx="5">
                  <c:v>Self Serve Bike station</c:v>
                </c:pt>
                <c:pt idx="6">
                  <c:v>Attended Bike Station</c:v>
                </c:pt>
                <c:pt idx="7">
                  <c:v>Bike cage</c:v>
                </c:pt>
              </c:strCache>
            </c:strRef>
          </c:cat>
          <c:val>
            <c:numRef>
              <c:f>'Bicycle Parking Invest. Summary'!$AC$68:$AJ$68</c:f>
              <c:numCache>
                <c:formatCode>#,##0</c:formatCode>
                <c:ptCount val="8"/>
                <c:pt idx="0">
                  <c:v>224.90589399999999</c:v>
                </c:pt>
                <c:pt idx="1">
                  <c:v>63.375</c:v>
                </c:pt>
                <c:pt idx="2">
                  <c:v>0</c:v>
                </c:pt>
                <c:pt idx="3">
                  <c:v>0</c:v>
                </c:pt>
                <c:pt idx="4">
                  <c:v>52.650000000000006</c:v>
                </c:pt>
                <c:pt idx="5">
                  <c:v>0</c:v>
                </c:pt>
                <c:pt idx="6">
                  <c:v>315</c:v>
                </c:pt>
                <c:pt idx="7">
                  <c:v>0</c:v>
                </c:pt>
              </c:numCache>
            </c:numRef>
          </c:val>
          <c:extLst>
            <c:ext xmlns:c16="http://schemas.microsoft.com/office/drawing/2014/chart" uri="{C3380CC4-5D6E-409C-BE32-E72D297353CC}">
              <c16:uniqueId val="{00000000-D325-4103-B248-051639485A7C}"/>
            </c:ext>
          </c:extLst>
        </c:ser>
        <c:dLbls>
          <c:showLegendKey val="0"/>
          <c:showVal val="0"/>
          <c:showCatName val="0"/>
          <c:showSerName val="0"/>
          <c:showPercent val="0"/>
          <c:showBubbleSize val="0"/>
          <c:showLeaderLines val="1"/>
        </c:dLbls>
        <c:firstSliceAng val="0"/>
      </c:pieChart>
      <c:spPr>
        <a:noFill/>
      </c:spPr>
    </c:plotArea>
    <c:legend>
      <c:legendPos val="r"/>
      <c:overlay val="0"/>
      <c:txPr>
        <a:bodyPr/>
        <a:lstStyle/>
        <a:p>
          <a:pPr>
            <a:defRPr sz="1400"/>
          </a:pPr>
          <a:endParaRPr lang="en-US"/>
        </a:p>
      </c:txPr>
    </c:legend>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'Bicycle Parking Invest. Summary'!$AC$60</c:f>
              <c:strCache>
                <c:ptCount val="1"/>
                <c:pt idx="0">
                  <c:v>Pre-invest.</c:v>
                </c:pt>
              </c:strCache>
            </c:strRef>
          </c:tx>
          <c:invertIfNegative val="0"/>
          <c:cat>
            <c:strRef>
              <c:f>'Bicycle Parking Invest. Summary'!$AB$61:$AB$63</c:f>
              <c:strCache>
                <c:ptCount val="3"/>
                <c:pt idx="0">
                  <c:v>Park and Ride</c:v>
                </c:pt>
                <c:pt idx="1">
                  <c:v>Board with Bike</c:v>
                </c:pt>
                <c:pt idx="2">
                  <c:v>Total Bike Access</c:v>
                </c:pt>
              </c:strCache>
            </c:strRef>
          </c:cat>
          <c:val>
            <c:numRef>
              <c:f>'Bicycle Parking Invest. Summary'!$AC$61:$AC$63</c:f>
              <c:numCache>
                <c:formatCode>#,##0</c:formatCode>
                <c:ptCount val="3"/>
                <c:pt idx="0">
                  <c:v>43.777681645705961</c:v>
                </c:pt>
                <c:pt idx="1">
                  <c:v>181.12821235429402</c:v>
                </c:pt>
                <c:pt idx="2">
                  <c:v>224.90589399999999</c:v>
                </c:pt>
              </c:numCache>
            </c:numRef>
          </c:val>
          <c:extLst>
            <c:ext xmlns:c16="http://schemas.microsoft.com/office/drawing/2014/chart" uri="{C3380CC4-5D6E-409C-BE32-E72D297353CC}">
              <c16:uniqueId val="{00000000-D6F9-4BAA-AB37-B462546274CE}"/>
            </c:ext>
          </c:extLst>
        </c:ser>
        <c:ser>
          <c:idx val="1"/>
          <c:order val="1"/>
          <c:tx>
            <c:strRef>
              <c:f>'Bicycle Parking Invest. Summary'!$AD$60</c:f>
              <c:strCache>
                <c:ptCount val="1"/>
                <c:pt idx="0">
                  <c:v>Scenario</c:v>
                </c:pt>
              </c:strCache>
            </c:strRef>
          </c:tx>
          <c:invertIfNegative val="0"/>
          <c:cat>
            <c:strRef>
              <c:f>'Bicycle Parking Invest. Summary'!$AB$61:$AB$63</c:f>
              <c:strCache>
                <c:ptCount val="3"/>
                <c:pt idx="0">
                  <c:v>Park and Ride</c:v>
                </c:pt>
                <c:pt idx="1">
                  <c:v>Board with Bike</c:v>
                </c:pt>
                <c:pt idx="2">
                  <c:v>Total Bike Access</c:v>
                </c:pt>
              </c:strCache>
            </c:strRef>
          </c:cat>
          <c:val>
            <c:numRef>
              <c:f>'Bicycle Parking Invest. Summary'!$AD$61:$AD$63</c:f>
              <c:numCache>
                <c:formatCode>#,##0</c:formatCode>
                <c:ptCount val="3"/>
                <c:pt idx="0">
                  <c:v>199.45170277938018</c:v>
                </c:pt>
                <c:pt idx="1">
                  <c:v>456.47919122061978</c:v>
                </c:pt>
                <c:pt idx="2">
                  <c:v>655.93089399999997</c:v>
                </c:pt>
              </c:numCache>
            </c:numRef>
          </c:val>
          <c:extLst>
            <c:ext xmlns:c16="http://schemas.microsoft.com/office/drawing/2014/chart" uri="{C3380CC4-5D6E-409C-BE32-E72D297353CC}">
              <c16:uniqueId val="{00000001-D6F9-4BAA-AB37-B462546274CE}"/>
            </c:ext>
          </c:extLst>
        </c:ser>
        <c:dLbls>
          <c:showLegendKey val="0"/>
          <c:showVal val="0"/>
          <c:showCatName val="0"/>
          <c:showSerName val="0"/>
          <c:showPercent val="0"/>
          <c:showBubbleSize val="0"/>
        </c:dLbls>
        <c:gapWidth val="150"/>
        <c:axId val="67555712"/>
        <c:axId val="67557248"/>
      </c:barChart>
      <c:catAx>
        <c:axId val="67555712"/>
        <c:scaling>
          <c:orientation val="minMax"/>
        </c:scaling>
        <c:delete val="0"/>
        <c:axPos val="b"/>
        <c:numFmt formatCode="General" sourceLinked="0"/>
        <c:majorTickMark val="out"/>
        <c:minorTickMark val="none"/>
        <c:tickLblPos val="nextTo"/>
        <c:txPr>
          <a:bodyPr/>
          <a:lstStyle/>
          <a:p>
            <a:pPr>
              <a:defRPr sz="1400"/>
            </a:pPr>
            <a:endParaRPr lang="en-US"/>
          </a:p>
        </c:txPr>
        <c:crossAx val="67557248"/>
        <c:crosses val="autoZero"/>
        <c:auto val="1"/>
        <c:lblAlgn val="ctr"/>
        <c:lblOffset val="100"/>
        <c:noMultiLvlLbl val="0"/>
      </c:catAx>
      <c:valAx>
        <c:axId val="67557248"/>
        <c:scaling>
          <c:orientation val="minMax"/>
        </c:scaling>
        <c:delete val="0"/>
        <c:axPos val="l"/>
        <c:majorGridlines/>
        <c:title>
          <c:tx>
            <c:rich>
              <a:bodyPr rot="-5400000" vert="horz"/>
              <a:lstStyle/>
              <a:p>
                <a:pPr>
                  <a:defRPr sz="1400"/>
                </a:pPr>
                <a:r>
                  <a:rPr lang="en-US" sz="1400"/>
                  <a:t>Daily Bicycle Access Ridership</a:t>
                </a:r>
              </a:p>
            </c:rich>
          </c:tx>
          <c:overlay val="0"/>
        </c:title>
        <c:numFmt formatCode="#,##0" sourceLinked="1"/>
        <c:majorTickMark val="out"/>
        <c:minorTickMark val="none"/>
        <c:tickLblPos val="nextTo"/>
        <c:spPr>
          <a:noFill/>
        </c:spPr>
        <c:txPr>
          <a:bodyPr/>
          <a:lstStyle/>
          <a:p>
            <a:pPr>
              <a:defRPr sz="1400"/>
            </a:pPr>
            <a:endParaRPr lang="en-US"/>
          </a:p>
        </c:txPr>
        <c:crossAx val="67555712"/>
        <c:crosses val="autoZero"/>
        <c:crossBetween val="between"/>
      </c:valAx>
      <c:spPr>
        <a:noFill/>
      </c:spPr>
    </c:plotArea>
    <c:legend>
      <c:legendPos val="r"/>
      <c:overlay val="0"/>
      <c:txPr>
        <a:bodyPr/>
        <a:lstStyle/>
        <a:p>
          <a:pPr>
            <a:defRPr sz="1400"/>
          </a:pPr>
          <a:endParaRPr lang="en-US"/>
        </a:p>
      </c:txPr>
    </c:legend>
    <c:plotVisOnly val="0"/>
    <c:dispBlanksAs val="gap"/>
    <c:showDLblsOverMax val="0"/>
  </c:chart>
  <c:spPr>
    <a:noFill/>
    <a:ln>
      <a:noFill/>
    </a:ln>
    <a:effectLst>
      <a:outerShdw blurRad="50800" dist="50800" dir="5400000" algn="ctr" rotWithShape="0">
        <a:srgbClr val="000000">
          <a:alpha val="0"/>
        </a:srgbClr>
      </a:outerShdw>
    </a:effectLst>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Pre-Investment</a:t>
            </a:r>
          </a:p>
        </c:rich>
      </c:tx>
      <c:overlay val="0"/>
    </c:title>
    <c:autoTitleDeleted val="0"/>
    <c:plotArea>
      <c:layout/>
      <c:pieChart>
        <c:varyColors val="1"/>
        <c:ser>
          <c:idx val="0"/>
          <c:order val="0"/>
          <c:cat>
            <c:strRef>
              <c:f>'Bicycle Parking Invest. Summary'!$AB$36:$AB$37</c:f>
              <c:strCache>
                <c:ptCount val="2"/>
                <c:pt idx="0">
                  <c:v>Short-Term</c:v>
                </c:pt>
                <c:pt idx="1">
                  <c:v>Long-Term</c:v>
                </c:pt>
              </c:strCache>
            </c:strRef>
          </c:cat>
          <c:val>
            <c:numRef>
              <c:f>'Bicycle Parking Invest. Summary'!$AC$38:$AC$39</c:f>
              <c:numCache>
                <c:formatCode>0%</c:formatCode>
                <c:ptCount val="2"/>
                <c:pt idx="0">
                  <c:v>0.39622641509433965</c:v>
                </c:pt>
                <c:pt idx="1">
                  <c:v>0.60377358490566035</c:v>
                </c:pt>
              </c:numCache>
            </c:numRef>
          </c:val>
          <c:extLst>
            <c:ext xmlns:c16="http://schemas.microsoft.com/office/drawing/2014/chart" uri="{C3380CC4-5D6E-409C-BE32-E72D297353CC}">
              <c16:uniqueId val="{00000000-F94A-49C3-9E55-DD768E85C8F0}"/>
            </c:ext>
          </c:extLst>
        </c:ser>
        <c:dLbls>
          <c:showLegendKey val="0"/>
          <c:showVal val="0"/>
          <c:showCatName val="0"/>
          <c:showSerName val="0"/>
          <c:showPercent val="0"/>
          <c:showBubbleSize val="0"/>
          <c:showLeaderLines val="1"/>
        </c:dLbls>
        <c:firstSliceAng val="0"/>
      </c:pieChart>
    </c:plotArea>
    <c:plotVisOnly val="0"/>
    <c:dispBlanksAs val="gap"/>
    <c:showDLblsOverMax val="0"/>
  </c:chart>
  <c:spPr>
    <a:noFill/>
    <a:ln>
      <a:noFill/>
    </a:ln>
  </c:spPr>
  <c:printSettings>
    <c:headerFooter/>
    <c:pageMargins b="0.7500000000000131" l="0.70000000000000062" r="0.70000000000000062" t="0.750000000000013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Recommended</a:t>
            </a:r>
          </a:p>
        </c:rich>
      </c:tx>
      <c:overlay val="0"/>
    </c:title>
    <c:autoTitleDeleted val="0"/>
    <c:plotArea>
      <c:layout/>
      <c:pieChart>
        <c:varyColors val="1"/>
        <c:ser>
          <c:idx val="0"/>
          <c:order val="0"/>
          <c:cat>
            <c:strRef>
              <c:f>'Bicycle Parking Invest. Summary'!$AB$36:$AB$37</c:f>
              <c:strCache>
                <c:ptCount val="2"/>
                <c:pt idx="0">
                  <c:v>Short-Term</c:v>
                </c:pt>
                <c:pt idx="1">
                  <c:v>Long-Term</c:v>
                </c:pt>
              </c:strCache>
            </c:strRef>
          </c:cat>
          <c:val>
            <c:numRef>
              <c:f>'Bicycle Parking Invest. Summary'!$AE$38:$AE$39</c:f>
              <c:numCache>
                <c:formatCode>0%</c:formatCode>
                <c:ptCount val="2"/>
                <c:pt idx="0">
                  <c:v>0.22291021671826625</c:v>
                </c:pt>
                <c:pt idx="1">
                  <c:v>0.77708978328173373</c:v>
                </c:pt>
              </c:numCache>
            </c:numRef>
          </c:val>
          <c:extLst>
            <c:ext xmlns:c16="http://schemas.microsoft.com/office/drawing/2014/chart" uri="{C3380CC4-5D6E-409C-BE32-E72D297353CC}">
              <c16:uniqueId val="{00000000-259B-4462-A536-7B855CEDDE2B}"/>
            </c:ext>
          </c:extLst>
        </c:ser>
        <c:dLbls>
          <c:showLegendKey val="0"/>
          <c:showVal val="0"/>
          <c:showCatName val="0"/>
          <c:showSerName val="0"/>
          <c:showPercent val="0"/>
          <c:showBubbleSize val="0"/>
          <c:showLeaderLines val="1"/>
        </c:dLbls>
        <c:firstSliceAng val="0"/>
      </c:pieChart>
      <c:spPr>
        <a:noFill/>
      </c:spPr>
    </c:plotArea>
    <c:legend>
      <c:legendPos val="b"/>
      <c:overlay val="0"/>
      <c:txPr>
        <a:bodyPr/>
        <a:lstStyle/>
        <a:p>
          <a:pPr rtl="0">
            <a:defRPr sz="1400"/>
          </a:pPr>
          <a:endParaRPr lang="en-US"/>
        </a:p>
      </c:txPr>
    </c:legend>
    <c:plotVisOnly val="0"/>
    <c:dispBlanksAs val="gap"/>
    <c:showDLblsOverMax val="0"/>
  </c:chart>
  <c:spPr>
    <a:noFill/>
    <a:ln>
      <a:noFill/>
    </a:ln>
  </c:sp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Scenario</a:t>
            </a:r>
          </a:p>
        </c:rich>
      </c:tx>
      <c:overlay val="0"/>
    </c:title>
    <c:autoTitleDeleted val="0"/>
    <c:plotArea>
      <c:layout/>
      <c:pieChart>
        <c:varyColors val="1"/>
        <c:ser>
          <c:idx val="0"/>
          <c:order val="0"/>
          <c:cat>
            <c:strRef>
              <c:f>'Bicycle Parking Invest. Summary'!$AB$36:$AB$37</c:f>
              <c:strCache>
                <c:ptCount val="2"/>
                <c:pt idx="0">
                  <c:v>Short-Term</c:v>
                </c:pt>
                <c:pt idx="1">
                  <c:v>Long-Term</c:v>
                </c:pt>
              </c:strCache>
            </c:strRef>
          </c:cat>
          <c:val>
            <c:numRef>
              <c:f>'Bicycle Parking Invest. Summary'!$AD$38:$AD$39</c:f>
              <c:numCache>
                <c:formatCode>0%</c:formatCode>
                <c:ptCount val="2"/>
                <c:pt idx="0">
                  <c:v>6.5015479876160992E-2</c:v>
                </c:pt>
                <c:pt idx="1">
                  <c:v>0.93498452012383904</c:v>
                </c:pt>
              </c:numCache>
            </c:numRef>
          </c:val>
          <c:extLst>
            <c:ext xmlns:c16="http://schemas.microsoft.com/office/drawing/2014/chart" uri="{C3380CC4-5D6E-409C-BE32-E72D297353CC}">
              <c16:uniqueId val="{00000000-1B3D-4C8D-85BB-DB4312603972}"/>
            </c:ext>
          </c:extLst>
        </c:ser>
        <c:dLbls>
          <c:showLegendKey val="0"/>
          <c:showVal val="0"/>
          <c:showCatName val="0"/>
          <c:showSerName val="0"/>
          <c:showPercent val="0"/>
          <c:showBubbleSize val="0"/>
          <c:showLeaderLines val="1"/>
        </c:dLbls>
        <c:firstSliceAng val="0"/>
      </c:pieChart>
      <c:spPr>
        <a:noFill/>
      </c:spPr>
    </c:plotArea>
    <c:plotVisOnly val="0"/>
    <c:dispBlanksAs val="gap"/>
    <c:showDLblsOverMax val="0"/>
  </c:chart>
  <c:spPr>
    <a:noFill/>
    <a:ln>
      <a:noFill/>
    </a:ln>
  </c:sp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Pt>
            <c:idx val="1"/>
            <c:invertIfNegative val="0"/>
            <c:bubble3D val="0"/>
            <c:spPr>
              <a:solidFill>
                <a:schemeClr val="accent2"/>
              </a:solidFill>
            </c:spPr>
            <c:extLst>
              <c:ext xmlns:c16="http://schemas.microsoft.com/office/drawing/2014/chart" uri="{C3380CC4-5D6E-409C-BE32-E72D297353CC}">
                <c16:uniqueId val="{00000000-8716-4FD8-90D9-B04A91C79F42}"/>
              </c:ext>
            </c:extLst>
          </c:dPt>
          <c:dPt>
            <c:idx val="2"/>
            <c:invertIfNegative val="0"/>
            <c:bubble3D val="0"/>
            <c:spPr>
              <a:solidFill>
                <a:schemeClr val="accent6"/>
              </a:solidFill>
            </c:spPr>
            <c:extLst>
              <c:ext xmlns:c16="http://schemas.microsoft.com/office/drawing/2014/chart" uri="{C3380CC4-5D6E-409C-BE32-E72D297353CC}">
                <c16:uniqueId val="{00000001-8716-4FD8-90D9-B04A91C79F42}"/>
              </c:ext>
            </c:extLst>
          </c:dPt>
          <c:dPt>
            <c:idx val="3"/>
            <c:invertIfNegative val="0"/>
            <c:bubble3D val="0"/>
            <c:spPr>
              <a:solidFill>
                <a:srgbClr val="92D050"/>
              </a:solidFill>
            </c:spPr>
            <c:extLst>
              <c:ext xmlns:c16="http://schemas.microsoft.com/office/drawing/2014/chart" uri="{C3380CC4-5D6E-409C-BE32-E72D297353CC}">
                <c16:uniqueId val="{00000002-8716-4FD8-90D9-B04A91C79F42}"/>
              </c:ext>
            </c:extLst>
          </c:dPt>
          <c:cat>
            <c:strRef>
              <c:f>'Bicycle Parking Invest. Summary'!$AC$77:$AF$77</c:f>
              <c:strCache>
                <c:ptCount val="4"/>
                <c:pt idx="0">
                  <c:v>Pre-invest.</c:v>
                </c:pt>
                <c:pt idx="1">
                  <c:v>Scenario</c:v>
                </c:pt>
                <c:pt idx="2">
                  <c:v>Goal</c:v>
                </c:pt>
                <c:pt idx="3">
                  <c:v>Max</c:v>
                </c:pt>
              </c:strCache>
            </c:strRef>
          </c:cat>
          <c:val>
            <c:numRef>
              <c:f>'Bicycle Parking Invest. Summary'!$AC$78:$AF$78</c:f>
              <c:numCache>
                <c:formatCode>0.0%</c:formatCode>
                <c:ptCount val="4"/>
                <c:pt idx="0">
                  <c:v>3.4076650606060604E-2</c:v>
                </c:pt>
                <c:pt idx="1">
                  <c:v>9.3290934678798607E-2</c:v>
                </c:pt>
                <c:pt idx="2">
                  <c:v>7.6507980993202954E-2</c:v>
                </c:pt>
                <c:pt idx="3">
                  <c:v>0.14254704745083363</c:v>
                </c:pt>
              </c:numCache>
            </c:numRef>
          </c:val>
          <c:extLst>
            <c:ext xmlns:c16="http://schemas.microsoft.com/office/drawing/2014/chart" uri="{C3380CC4-5D6E-409C-BE32-E72D297353CC}">
              <c16:uniqueId val="{00000003-8716-4FD8-90D9-B04A91C79F42}"/>
            </c:ext>
          </c:extLst>
        </c:ser>
        <c:dLbls>
          <c:showLegendKey val="0"/>
          <c:showVal val="0"/>
          <c:showCatName val="0"/>
          <c:showSerName val="0"/>
          <c:showPercent val="0"/>
          <c:showBubbleSize val="0"/>
        </c:dLbls>
        <c:gapWidth val="30"/>
        <c:axId val="144275712"/>
        <c:axId val="144277504"/>
      </c:barChart>
      <c:catAx>
        <c:axId val="144275712"/>
        <c:scaling>
          <c:orientation val="minMax"/>
        </c:scaling>
        <c:delete val="0"/>
        <c:axPos val="b"/>
        <c:numFmt formatCode="General" sourceLinked="0"/>
        <c:majorTickMark val="out"/>
        <c:minorTickMark val="none"/>
        <c:tickLblPos val="nextTo"/>
        <c:txPr>
          <a:bodyPr/>
          <a:lstStyle/>
          <a:p>
            <a:pPr>
              <a:defRPr sz="1400"/>
            </a:pPr>
            <a:endParaRPr lang="en-US"/>
          </a:p>
        </c:txPr>
        <c:crossAx val="144277504"/>
        <c:crosses val="autoZero"/>
        <c:auto val="1"/>
        <c:lblAlgn val="ctr"/>
        <c:lblOffset val="100"/>
        <c:noMultiLvlLbl val="0"/>
      </c:catAx>
      <c:valAx>
        <c:axId val="144277504"/>
        <c:scaling>
          <c:orientation val="minMax"/>
        </c:scaling>
        <c:delete val="0"/>
        <c:axPos val="l"/>
        <c:majorGridlines/>
        <c:numFmt formatCode="0.0%" sourceLinked="1"/>
        <c:majorTickMark val="out"/>
        <c:minorTickMark val="none"/>
        <c:tickLblPos val="nextTo"/>
        <c:txPr>
          <a:bodyPr/>
          <a:lstStyle/>
          <a:p>
            <a:pPr>
              <a:defRPr sz="1400"/>
            </a:pPr>
            <a:endParaRPr lang="en-US"/>
          </a:p>
        </c:txPr>
        <c:crossAx val="144275712"/>
        <c:crosses val="autoZero"/>
        <c:crossBetween val="between"/>
      </c:valAx>
      <c:spPr>
        <a:noFill/>
        <a:ln>
          <a:noFill/>
        </a:ln>
      </c:spPr>
    </c:plotArea>
    <c:legend>
      <c:legendPos val="r"/>
      <c:overlay val="0"/>
      <c:txPr>
        <a:bodyPr/>
        <a:lstStyle/>
        <a:p>
          <a:pPr>
            <a:defRPr sz="1400"/>
          </a:pPr>
          <a:endParaRPr lang="en-US"/>
        </a:p>
      </c:txPr>
    </c:legend>
    <c:plotVisOnly val="0"/>
    <c:dispBlanksAs val="gap"/>
    <c:showDLblsOverMax val="0"/>
  </c:chart>
  <c:spPr>
    <a:noFill/>
    <a:ln>
      <a:noFill/>
    </a:ln>
  </c:spPr>
  <c:printSettings>
    <c:headerFooter/>
    <c:pageMargins b="0.7500000000000131" l="0.70000000000000062" r="0.70000000000000062" t="0.7500000000000131" header="0.30000000000000032" footer="0.30000000000000032"/>
    <c:pageSetup/>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C$12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Spin" dx="15" fmlaLink="$C$8" max="2020" min="2012" page="10" val="2012"/>
</file>

<file path=xl/ctrlProps/ctrlProp8.xml><?xml version="1.0" encoding="utf-8"?>
<formControlPr xmlns="http://schemas.microsoft.com/office/spreadsheetml/2009/9/main" objectType="Scroll" dx="16" fmlaLink="$D$33" horiz="1" max="30000" page="10" val="6139"/>
</file>

<file path=xl/ctrlProps/ctrlProp9.xml><?xml version="1.0" encoding="utf-8"?>
<formControlPr xmlns="http://schemas.microsoft.com/office/spreadsheetml/2009/9/main" objectType="Scroll" dx="16" fmlaLink="$D$34" horiz="1" max="10000" page="10" val="83"/>
</file>

<file path=xl/ctrlProps/ctrlProp10.xml><?xml version="1.0" encoding="utf-8"?>
<formControlPr xmlns="http://schemas.microsoft.com/office/spreadsheetml/2009/9/main" objectType="Scroll" dx="16" fmlaLink="$D$35" horiz="1" max="100" page="10" val="92"/>
</file>

<file path=xl/ctrlProps/ctrlProp11.xml><?xml version="1.0" encoding="utf-8"?>
<formControlPr xmlns="http://schemas.microsoft.com/office/spreadsheetml/2009/9/main" objectType="Scroll" dx="16" fmlaLink="$D$43" horiz="1" max="4" page="10" val="0"/>
</file>

<file path=xl/ctrlProps/ctrlProp12.xml><?xml version="1.0" encoding="utf-8"?>
<formControlPr xmlns="http://schemas.microsoft.com/office/spreadsheetml/2009/9/main" objectType="Scroll" dx="16" fmlaLink="$D$37" horiz="1" max="250" page="10" val="21"/>
</file>

<file path=xl/ctrlProps/ctrlProp13.xml><?xml version="1.0" encoding="utf-8"?>
<formControlPr xmlns="http://schemas.microsoft.com/office/spreadsheetml/2009/9/main" objectType="Scroll" dx="16" fmlaLink="$D$38" horiz="1" max="100" page="10" val="0"/>
</file>

<file path=xl/ctrlProps/ctrlProp14.xml><?xml version="1.0" encoding="utf-8"?>
<formControlPr xmlns="http://schemas.microsoft.com/office/spreadsheetml/2009/9/main" objectType="Scroll" dx="16" fmlaLink="$D$39" horiz="1" max="40" page="10" val="0"/>
</file>

<file path=xl/ctrlProps/ctrlProp15.xml><?xml version="1.0" encoding="utf-8"?>
<formControlPr xmlns="http://schemas.microsoft.com/office/spreadsheetml/2009/9/main" objectType="Scroll" dx="16" fmlaLink="$D$40" horiz="1" max="100" page="10" val="32"/>
</file>

<file path=xl/ctrlProps/ctrlProp16.xml><?xml version="1.0" encoding="utf-8"?>
<formControlPr xmlns="http://schemas.microsoft.com/office/spreadsheetml/2009/9/main" objectType="Scroll" dx="16" fmlaLink="$D$41" horiz="1" max="300" page="10" val="0"/>
</file>

<file path=xl/ctrlProps/ctrlProp17.xml><?xml version="1.0" encoding="utf-8"?>
<formControlPr xmlns="http://schemas.microsoft.com/office/spreadsheetml/2009/9/main" objectType="Scroll" dx="16" fmlaLink="$D$42" horiz="1" max="300" page="10" val="0"/>
</file>

<file path=xl/ctrlProps/ctrlProp18.xml><?xml version="1.0" encoding="utf-8"?>
<formControlPr xmlns="http://schemas.microsoft.com/office/spreadsheetml/2009/9/main" objectType="Scroll" dx="16" fmlaLink="$D$44" horiz="1" max="4" page="10"/>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Scroll" dx="16" fmlaLink="$D$88" horiz="1" max="500" page="10" val="15"/>
</file>

<file path=xl/ctrlProps/ctrlProp21.xml><?xml version="1.0" encoding="utf-8"?>
<formControlPr xmlns="http://schemas.microsoft.com/office/spreadsheetml/2009/9/main" objectType="Scroll" dx="16" fmlaLink="$D$91" horiz="1" max="100" page="10" val="92"/>
</file>

<file path=xl/ctrlProps/ctrlProp22.xml><?xml version="1.0" encoding="utf-8"?>
<formControlPr xmlns="http://schemas.microsoft.com/office/spreadsheetml/2009/9/main" objectType="Scroll" dx="16" fmlaLink="$D$92" horiz="1" max="1" page="10" val="0"/>
</file>

<file path=xl/ctrlProps/ctrlProp23.xml><?xml version="1.0" encoding="utf-8"?>
<formControlPr xmlns="http://schemas.microsoft.com/office/spreadsheetml/2009/9/main" objectType="Scroll" dx="16" fmlaLink="$D$87" horiz="1" max="500" page="10" val="0"/>
</file>

<file path=xl/ctrlProps/ctrlProp24.xml><?xml version="1.0" encoding="utf-8"?>
<formControlPr xmlns="http://schemas.microsoft.com/office/spreadsheetml/2009/9/main" objectType="Scroll" dx="16" fmlaLink="$D$89" horiz="1" max="1" page="10" val="0"/>
</file>

<file path=xl/ctrlProps/ctrlProp25.xml><?xml version="1.0" encoding="utf-8"?>
<formControlPr xmlns="http://schemas.microsoft.com/office/spreadsheetml/2009/9/main" objectType="Scroll" dx="16" fmlaLink="$D$90" horiz="1" max="1" page="10"/>
</file>

<file path=xl/ctrlProps/ctrlProp26.xml><?xml version="1.0" encoding="utf-8"?>
<formControlPr xmlns="http://schemas.microsoft.com/office/spreadsheetml/2009/9/main" objectType="Spin" dx="15" fmlaLink="$C$23" max="100" page="10" val="7"/>
</file>

<file path=xl/ctrlProps/ctrlProp27.xml><?xml version="1.0" encoding="utf-8"?>
<formControlPr xmlns="http://schemas.microsoft.com/office/spreadsheetml/2009/9/main" objectType="Spin" dx="15" fmlaLink="$C$25" max="100" page="10" val="6"/>
</file>

<file path=xl/ctrlProps/ctrlProp28.xml><?xml version="1.0" encoding="utf-8"?>
<formControlPr xmlns="http://schemas.microsoft.com/office/spreadsheetml/2009/9/main" objectType="Scroll" dx="16" fmlaLink="$D$78" horiz="1" max="500" page="10" val="0"/>
</file>

<file path=xl/ctrlProps/ctrlProp29.xml><?xml version="1.0" encoding="utf-8"?>
<formControlPr xmlns="http://schemas.microsoft.com/office/spreadsheetml/2009/9/main" objectType="Scroll" dx="16" fmlaLink="$D$79" horiz="1" max="500" page="10" val="0"/>
</file>

<file path=xl/ctrlProps/ctrlProp30.xml><?xml version="1.0" encoding="utf-8"?>
<formControlPr xmlns="http://schemas.microsoft.com/office/spreadsheetml/2009/9/main" objectType="Scroll" dx="16" fmlaLink="$D$80" horiz="1" max="100" page="10" val="0"/>
</file>

<file path=xl/ctrlProps/ctrlProp31.xml><?xml version="1.0" encoding="utf-8"?>
<formControlPr xmlns="http://schemas.microsoft.com/office/spreadsheetml/2009/9/main" objectType="Scroll" dx="16" fmlaLink="$D$81" horiz="1" max="100" page="10" val="0"/>
</file>

<file path=xl/ctrlProps/ctrlProp32.xml><?xml version="1.0" encoding="utf-8"?>
<formControlPr xmlns="http://schemas.microsoft.com/office/spreadsheetml/2009/9/main" objectType="Scroll" dx="16" fmlaLink="$D$83" horiz="1" max="500" page="10" val="30"/>
</file>

<file path=xl/ctrlProps/ctrlProp33.xml><?xml version="1.0" encoding="utf-8"?>
<formControlPr xmlns="http://schemas.microsoft.com/office/spreadsheetml/2009/9/main" objectType="Scroll" dx="16" fmlaLink="$D$84" horiz="1" max="500" page="10" val="0"/>
</file>

<file path=xl/ctrlProps/ctrlProp34.xml><?xml version="1.0" encoding="utf-8"?>
<formControlPr xmlns="http://schemas.microsoft.com/office/spreadsheetml/2009/9/main" objectType="Scroll" dx="16" fmlaLink="$D$85" horiz="1" max="100" page="10" val="0"/>
</file>

<file path=xl/ctrlProps/ctrlProp35.xml><?xml version="1.0" encoding="utf-8"?>
<formControlPr xmlns="http://schemas.microsoft.com/office/spreadsheetml/2009/9/main" objectType="Scroll" dx="16" fmlaLink="$D$86" horiz="1" max="100" page="10" val="0"/>
</file>

<file path=xl/ctrlProps/ctrlProp36.xml><?xml version="1.0" encoding="utf-8"?>
<formControlPr xmlns="http://schemas.microsoft.com/office/spreadsheetml/2009/9/main" objectType="Spin" dx="15" fmlaLink="$C$23" max="100" page="10" val="7"/>
</file>

<file path=xl/ctrlProps/ctrlProp37.xml><?xml version="1.0" encoding="utf-8"?>
<formControlPr xmlns="http://schemas.microsoft.com/office/spreadsheetml/2009/9/main" objectType="Spin" dx="15" fmlaLink="$C$23" max="100" page="10" val="7"/>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Radio" firstButton="1" fmlaLink="$C$123"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Spin" dx="15" fmlaLink="$D$63" max="2020" min="2012" page="10" val="2012"/>
</file>

<file path=xl/ctrlProps/ctrlProp60.xml><?xml version="1.0" encoding="utf-8"?>
<formControlPr xmlns="http://schemas.microsoft.com/office/spreadsheetml/2009/9/main" objectType="CheckBox" checked="Checked" fmlaLink="$S$10" lockText="1" noThreeD="1"/>
</file>

<file path=xl/ctrlProps/ctrlProp61.xml><?xml version="1.0" encoding="utf-8"?>
<formControlPr xmlns="http://schemas.microsoft.com/office/spreadsheetml/2009/9/main" objectType="CheckBox" checked="Checked" fmlaLink="$S$12" lockText="1" noThreeD="1"/>
</file>

<file path=xl/ctrlProps/ctrlProp62.xml><?xml version="1.0" encoding="utf-8"?>
<formControlPr xmlns="http://schemas.microsoft.com/office/spreadsheetml/2009/9/main" objectType="CheckBox" checked="Checked" fmlaLink="$S$14" lockText="1" noThreeD="1"/>
</file>

<file path=xl/ctrlProps/ctrlProp63.xml><?xml version="1.0" encoding="utf-8"?>
<formControlPr xmlns="http://schemas.microsoft.com/office/spreadsheetml/2009/9/main" objectType="CheckBox" checked="Checked" fmlaLink="$S$11" lockText="1" noThreeD="1"/>
</file>

<file path=xl/ctrlProps/ctrlProp64.xml><?xml version="1.0" encoding="utf-8"?>
<formControlPr xmlns="http://schemas.microsoft.com/office/spreadsheetml/2009/9/main" objectType="CheckBox" checked="Checked" fmlaLink="$S$13" lockText="1" noThreeD="1"/>
</file>

<file path=xl/ctrlProps/ctrlProp65.xml><?xml version="1.0" encoding="utf-8"?>
<formControlPr xmlns="http://schemas.microsoft.com/office/spreadsheetml/2009/9/main" objectType="CheckBox" checked="Checked" fmlaLink="$S$17" lockText="1" noThreeD="1"/>
</file>

<file path=xl/ctrlProps/ctrlProp66.xml><?xml version="1.0" encoding="utf-8"?>
<formControlPr xmlns="http://schemas.microsoft.com/office/spreadsheetml/2009/9/main" objectType="CheckBox" checked="Checked" fmlaLink="$S$20" lockText="1" noThreeD="1"/>
</file>

<file path=xl/ctrlProps/ctrlProp67.xml><?xml version="1.0" encoding="utf-8"?>
<formControlPr xmlns="http://schemas.microsoft.com/office/spreadsheetml/2009/9/main" objectType="CheckBox" checked="Checked" fmlaLink="$S$26" lockText="1" noThreeD="1"/>
</file>

<file path=xl/ctrlProps/ctrlProp68.xml><?xml version="1.0" encoding="utf-8"?>
<formControlPr xmlns="http://schemas.microsoft.com/office/spreadsheetml/2009/9/main" objectType="CheckBox" checked="Checked" fmlaLink="$S$27" lockText="1" noThreeD="1"/>
</file>

<file path=xl/ctrlProps/ctrlProp69.xml><?xml version="1.0" encoding="utf-8"?>
<formControlPr xmlns="http://schemas.microsoft.com/office/spreadsheetml/2009/9/main" objectType="CheckBox" checked="Checked" fmlaLink="$S$33" lockText="1" noThreeD="1"/>
</file>

<file path=xl/ctrlProps/ctrlProp70.xml><?xml version="1.0" encoding="utf-8"?>
<formControlPr xmlns="http://schemas.microsoft.com/office/spreadsheetml/2009/9/main" objectType="CheckBox" checked="Checked" fmlaLink="$S$28" lockText="1" noThreeD="1"/>
</file>

<file path=xl/ctrlProps/ctrlProp71.xml><?xml version="1.0" encoding="utf-8"?>
<formControlPr xmlns="http://schemas.microsoft.com/office/spreadsheetml/2009/9/main" objectType="CheckBox" checked="Checked" fmlaLink="$S$29" lockText="1" noThreeD="1"/>
</file>

<file path=xl/ctrlProps/ctrlProp72.xml><?xml version="1.0" encoding="utf-8"?>
<formControlPr xmlns="http://schemas.microsoft.com/office/spreadsheetml/2009/9/main" objectType="CheckBox" checked="Checked" fmlaLink="$S$42" lockText="1" noThreeD="1"/>
</file>

<file path=xl/ctrlProps/ctrlProp73.xml><?xml version="1.0" encoding="utf-8"?>
<formControlPr xmlns="http://schemas.microsoft.com/office/spreadsheetml/2009/9/main" objectType="CheckBox" checked="Checked" fmlaLink="$S$43" lockText="1" noThreeD="1"/>
</file>

<file path=xl/ctrlProps/ctrlProp74.xml><?xml version="1.0" encoding="utf-8"?>
<formControlPr xmlns="http://schemas.microsoft.com/office/spreadsheetml/2009/9/main" objectType="CheckBox" checked="Checked" fmlaLink="$S$44" lockText="1" noThreeD="1"/>
</file>

<file path=xl/ctrlProps/ctrlProp75.xml><?xml version="1.0" encoding="utf-8"?>
<formControlPr xmlns="http://schemas.microsoft.com/office/spreadsheetml/2009/9/main" objectType="CheckBox" checked="Checked" fmlaLink="$S$58" lockText="1" noThreeD="1"/>
</file>

<file path=xl/ctrlProps/ctrlProp76.xml><?xml version="1.0" encoding="utf-8"?>
<formControlPr xmlns="http://schemas.microsoft.com/office/spreadsheetml/2009/9/main" objectType="CheckBox" checked="Checked" fmlaLink="$S$59" lockText="1" noThreeD="1"/>
</file>

<file path=xl/ctrlProps/ctrlProp77.xml><?xml version="1.0" encoding="utf-8"?>
<formControlPr xmlns="http://schemas.microsoft.com/office/spreadsheetml/2009/9/main" objectType="CheckBox" checked="Checked" fmlaLink="$S$62" lockText="1" noThreeD="1"/>
</file>

<file path=xl/ctrlProps/ctrlProp78.xml><?xml version="1.0" encoding="utf-8"?>
<formControlPr xmlns="http://schemas.microsoft.com/office/spreadsheetml/2009/9/main" objectType="CheckBox" checked="Checked" fmlaLink="$S$74" lockText="1" noThreeD="1"/>
</file>

<file path=xl/ctrlProps/ctrlProp79.xml><?xml version="1.0" encoding="utf-8"?>
<formControlPr xmlns="http://schemas.microsoft.com/office/spreadsheetml/2009/9/main" objectType="CheckBox" checked="Checked" fmlaLink="$S$75" lockText="1" noThreeD="1"/>
</file>

<file path=xl/ctrlProps/ctrlProp80.xml><?xml version="1.0" encoding="utf-8"?>
<formControlPr xmlns="http://schemas.microsoft.com/office/spreadsheetml/2009/9/main" objectType="CheckBox" checked="Checked" fmlaLink="$S$76" lockText="1" noThreeD="1"/>
</file>

<file path=xl/ctrlProps/ctrlProp81.xml><?xml version="1.0" encoding="utf-8"?>
<formControlPr xmlns="http://schemas.microsoft.com/office/spreadsheetml/2009/9/main" objectType="CheckBox" checked="Checked" fmlaLink="$S$81" lockText="1" noThreeD="1"/>
</file>

<file path=xl/ctrlProps/ctrlProp82.xml><?xml version="1.0" encoding="utf-8"?>
<formControlPr xmlns="http://schemas.microsoft.com/office/spreadsheetml/2009/9/main" objectType="CheckBox" checked="Checked" fmlaLink="$S$77" lockText="1" noThreeD="1"/>
</file>

<file path=xl/ctrlProps/ctrlProp83.xml><?xml version="1.0" encoding="utf-8"?>
<formControlPr xmlns="http://schemas.microsoft.com/office/spreadsheetml/2009/9/main" objectType="CheckBox" checked="Checked" fmlaLink="$S$78" lockText="1" noThreeD="1"/>
</file>

<file path=xl/ctrlProps/ctrlProp84.xml><?xml version="1.0" encoding="utf-8"?>
<formControlPr xmlns="http://schemas.microsoft.com/office/spreadsheetml/2009/9/main" objectType="CheckBox" checked="Checked" fmlaLink="$S$82" lockText="1" noThreeD="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xdr:col>
      <xdr:colOff>1304838</xdr:colOff>
      <xdr:row>0</xdr:row>
      <xdr:rowOff>57149</xdr:rowOff>
    </xdr:from>
    <xdr:to>
      <xdr:col>2</xdr:col>
      <xdr:colOff>2028911</xdr:colOff>
      <xdr:row>2</xdr:row>
      <xdr:rowOff>133350</xdr:rowOff>
    </xdr:to>
    <xdr:pic>
      <xdr:nvPicPr>
        <xdr:cNvPr id="2" name="Picture 1" descr="C:\Users\thenry\Desktop\500px-Bart-logo.svg_.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bwMode="auto">
        <a:xfrm>
          <a:off x="2657388" y="57149"/>
          <a:ext cx="724073" cy="457201"/>
        </a:xfrm>
        <a:prstGeom prst="rect">
          <a:avLst/>
        </a:prstGeom>
        <a:noFill/>
        <a:ln w="9525">
          <a:noFill/>
          <a:miter lim="800000"/>
          <a:headEnd/>
          <a:tailEnd/>
        </a:ln>
      </xdr:spPr>
    </xdr:pic>
    <xdr:clientData/>
  </xdr:twoCellAnchor>
  <xdr:twoCellAnchor>
    <xdr:from>
      <xdr:col>1</xdr:col>
      <xdr:colOff>76200</xdr:colOff>
      <xdr:row>13</xdr:row>
      <xdr:rowOff>57150</xdr:rowOff>
    </xdr:from>
    <xdr:to>
      <xdr:col>2</xdr:col>
      <xdr:colOff>3200400</xdr:colOff>
      <xdr:row>14</xdr:row>
      <xdr:rowOff>171450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85800" y="1019175"/>
          <a:ext cx="3867150" cy="304800"/>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Select</a:t>
          </a:r>
          <a:r>
            <a:rPr lang="en-US" sz="1100" b="1" i="1" baseline="0">
              <a:latin typeface="Arial" pitchFamily="34" charset="0"/>
              <a:cs typeface="Arial" pitchFamily="34" charset="0"/>
            </a:rPr>
            <a:t> </a:t>
          </a:r>
          <a:r>
            <a:rPr lang="en-US" sz="1100" b="1" i="1">
              <a:latin typeface="Arial" pitchFamily="34" charset="0"/>
              <a:cs typeface="Arial" pitchFamily="34" charset="0"/>
            </a:rPr>
            <a:t>Bicycle Parking Investments</a:t>
          </a:r>
        </a:p>
      </xdr:txBody>
    </xdr:sp>
    <xdr:clientData/>
  </xdr:twoCellAnchor>
  <xdr:twoCellAnchor>
    <xdr:from>
      <xdr:col>1</xdr:col>
      <xdr:colOff>76200</xdr:colOff>
      <xdr:row>18</xdr:row>
      <xdr:rowOff>57150</xdr:rowOff>
    </xdr:from>
    <xdr:to>
      <xdr:col>2</xdr:col>
      <xdr:colOff>3200400</xdr:colOff>
      <xdr:row>19</xdr:row>
      <xdr:rowOff>171450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85800" y="1019175"/>
          <a:ext cx="3867150" cy="304800"/>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Select Bicycle Access Support Strategies</a:t>
          </a:r>
        </a:p>
      </xdr:txBody>
    </xdr:sp>
    <xdr:clientData/>
  </xdr:twoCellAnchor>
  <xdr:twoCellAnchor>
    <xdr:from>
      <xdr:col>1</xdr:col>
      <xdr:colOff>76200</xdr:colOff>
      <xdr:row>26</xdr:row>
      <xdr:rowOff>57150</xdr:rowOff>
    </xdr:from>
    <xdr:to>
      <xdr:col>2</xdr:col>
      <xdr:colOff>3200400</xdr:colOff>
      <xdr:row>27</xdr:row>
      <xdr:rowOff>171450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85800" y="1800225"/>
          <a:ext cx="3867150" cy="304800"/>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Review Investments and Strategies</a:t>
          </a:r>
        </a:p>
      </xdr:txBody>
    </xdr:sp>
    <xdr:clientData/>
  </xdr:twoCellAnchor>
  <xdr:twoCellAnchor>
    <xdr:from>
      <xdr:col>1</xdr:col>
      <xdr:colOff>47625</xdr:colOff>
      <xdr:row>6</xdr:row>
      <xdr:rowOff>0</xdr:rowOff>
    </xdr:from>
    <xdr:to>
      <xdr:col>2</xdr:col>
      <xdr:colOff>3171825</xdr:colOff>
      <xdr:row>7</xdr:row>
      <xdr:rowOff>114300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657225" y="1143000"/>
          <a:ext cx="3867150" cy="304800"/>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Blue boxes include instructions and definitions</a:t>
          </a:r>
        </a:p>
      </xdr:txBody>
    </xdr:sp>
    <xdr:clientData/>
  </xdr:twoCellAnchor>
  <xdr:twoCellAnchor>
    <xdr:from>
      <xdr:col>5</xdr:col>
      <xdr:colOff>0</xdr:colOff>
      <xdr:row>6</xdr:row>
      <xdr:rowOff>0</xdr:rowOff>
    </xdr:from>
    <xdr:to>
      <xdr:col>10</xdr:col>
      <xdr:colOff>600075</xdr:colOff>
      <xdr:row>7</xdr:row>
      <xdr:rowOff>114300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934075" y="1143000"/>
          <a:ext cx="4743450" cy="304800"/>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Read Disclaimers before</a:t>
          </a:r>
          <a:r>
            <a:rPr lang="en-US" sz="1100" b="1" i="1" baseline="0">
              <a:latin typeface="Arial" pitchFamily="34" charset="0"/>
              <a:cs typeface="Arial" pitchFamily="34" charset="0"/>
            </a:rPr>
            <a:t> using tool!</a:t>
          </a:r>
          <a:endParaRPr lang="en-US" sz="1100" b="1" i="1">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581025</xdr:colOff>
      <xdr:row>0</xdr:row>
      <xdr:rowOff>19050</xdr:rowOff>
    </xdr:from>
    <xdr:to>
      <xdr:col>2</xdr:col>
      <xdr:colOff>521577</xdr:colOff>
      <xdr:row>1</xdr:row>
      <xdr:rowOff>175932</xdr:rowOff>
    </xdr:to>
    <xdr:pic>
      <xdr:nvPicPr>
        <xdr:cNvPr id="4" name="Picture 3" descr="C:\Users\thenry\Desktop\500px-Bart-logo.svg_.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stretch>
          <a:fillRect/>
        </a:stretch>
      </xdr:blipFill>
      <xdr:spPr bwMode="auto">
        <a:xfrm>
          <a:off x="1190625" y="19050"/>
          <a:ext cx="550152" cy="34738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447675</xdr:colOff>
      <xdr:row>0</xdr:row>
      <xdr:rowOff>28575</xdr:rowOff>
    </xdr:from>
    <xdr:to>
      <xdr:col>0</xdr:col>
      <xdr:colOff>997827</xdr:colOff>
      <xdr:row>1</xdr:row>
      <xdr:rowOff>185457</xdr:rowOff>
    </xdr:to>
    <xdr:pic>
      <xdr:nvPicPr>
        <xdr:cNvPr id="3" name="Picture 2" descr="C:\Users\thenry\Desktop\500px-Bart-logo.svg_.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stretch>
          <a:fillRect/>
        </a:stretch>
      </xdr:blipFill>
      <xdr:spPr bwMode="auto">
        <a:xfrm>
          <a:off x="447675" y="28575"/>
          <a:ext cx="550152" cy="347382"/>
        </a:xfrm>
        <a:prstGeom prst="rect">
          <a:avLst/>
        </a:prstGeom>
        <a:noFill/>
        <a:ln w="9525">
          <a:noFill/>
          <a:miter lim="800000"/>
          <a:headEnd/>
          <a:tailEnd/>
        </a:ln>
      </xdr:spPr>
    </xdr:pic>
    <xdr:clientData/>
  </xdr:twoCellAnchor>
  <xdr:twoCellAnchor>
    <xdr:from>
      <xdr:col>0</xdr:col>
      <xdr:colOff>28575</xdr:colOff>
      <xdr:row>4</xdr:row>
      <xdr:rowOff>38101</xdr:rowOff>
    </xdr:from>
    <xdr:to>
      <xdr:col>4</xdr:col>
      <xdr:colOff>9525</xdr:colOff>
      <xdr:row>5</xdr:row>
      <xdr:rowOff>409575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8575" y="800101"/>
          <a:ext cx="4895850" cy="561974"/>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000" b="1" i="1">
              <a:latin typeface="Arial" pitchFamily="34" charset="0"/>
              <a:cs typeface="Arial" pitchFamily="34" charset="0"/>
            </a:rPr>
            <a:t>Input cost</a:t>
          </a:r>
          <a:r>
            <a:rPr lang="en-US" sz="1000" b="1" i="1" baseline="0">
              <a:latin typeface="Arial" pitchFamily="34" charset="0"/>
              <a:cs typeface="Arial" pitchFamily="34" charset="0"/>
            </a:rPr>
            <a:t> estimates for vehicle and bicycle parking. These costs do not impact the estimates of ridership increase but are for informational purposes. Defaults based on data from BART. </a:t>
          </a:r>
          <a:endParaRPr lang="en-US" sz="1100" b="1" i="1">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78441</xdr:colOff>
      <xdr:row>93</xdr:row>
      <xdr:rowOff>112057</xdr:rowOff>
    </xdr:from>
    <xdr:to>
      <xdr:col>7</xdr:col>
      <xdr:colOff>195401</xdr:colOff>
      <xdr:row>104</xdr:row>
      <xdr:rowOff>106455</xdr:rowOff>
    </xdr:to>
    <xdr:sp macro="" textlink="">
      <xdr:nvSpPr>
        <xdr:cNvPr id="48" name="Rounded Rectangle 47">
          <a:extLst>
            <a:ext uri="{FF2B5EF4-FFF2-40B4-BE49-F238E27FC236}">
              <a16:creationId xmlns:a16="http://schemas.microsoft.com/office/drawing/2014/main" id="{00000000-0008-0000-0300-000030000000}"/>
            </a:ext>
          </a:extLst>
        </xdr:cNvPr>
        <xdr:cNvSpPr/>
      </xdr:nvSpPr>
      <xdr:spPr bwMode="auto">
        <a:xfrm>
          <a:off x="537882" y="23364263"/>
          <a:ext cx="11132343" cy="2213163"/>
        </a:xfrm>
        <a:prstGeom prst="roundRect">
          <a:avLst/>
        </a:prstGeom>
        <a:solidFill>
          <a:schemeClr val="bg1">
            <a:lumMod val="85000"/>
          </a:schemeClr>
        </a:solidFill>
        <a:ln w="9525" cap="flat" cmpd="sng" algn="ctr">
          <a:solidFill>
            <a:srgbClr val="000000"/>
          </a:solidFill>
          <a:prstDash val="solid"/>
          <a:round/>
          <a:headEnd type="none" w="med" len="med"/>
          <a:tailEnd type="none" w="med" len="med"/>
        </a:ln>
        <a:effectLst>
          <a:outerShdw blurRad="50800" dist="38100" dir="13500000" algn="br" rotWithShape="0">
            <a:prstClr val="black">
              <a:alpha val="40000"/>
            </a:prstClr>
          </a:outerShdw>
        </a:effectLst>
        <a:scene3d>
          <a:camera prst="orthographicFront"/>
          <a:lightRig rig="flat" dir="t"/>
        </a:scene3d>
        <a:sp3d prstMaterial="translucentPowder">
          <a:bevelT w="127000"/>
          <a:bevelB w="127000"/>
        </a:sp3d>
      </xdr:spPr>
      <xdr:txBody>
        <a:bodyPr vertOverflow="clip" wrap="square" lIns="18288" tIns="0" rIns="0" bIns="0" rtlCol="0" anchor="ctr" upright="1"/>
        <a:lstStyle/>
        <a:p>
          <a:endParaRPr lang="en-US"/>
        </a:p>
      </xdr:txBody>
    </xdr:sp>
    <xdr:clientData/>
  </xdr:twoCellAnchor>
  <xdr:twoCellAnchor>
    <xdr:from>
      <xdr:col>1</xdr:col>
      <xdr:colOff>38100</xdr:colOff>
      <xdr:row>13</xdr:row>
      <xdr:rowOff>61631</xdr:rowOff>
    </xdr:from>
    <xdr:to>
      <xdr:col>2</xdr:col>
      <xdr:colOff>1847848</xdr:colOff>
      <xdr:row>17</xdr:row>
      <xdr:rowOff>481853</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497541" y="5249955"/>
          <a:ext cx="4969807" cy="2493310"/>
          <a:chOff x="501149" y="2152649"/>
          <a:chExt cx="4632824" cy="2477161"/>
        </a:xfrm>
      </xdr:grpSpPr>
      <xdr:grpSp>
        <xdr:nvGrpSpPr>
          <xdr:cNvPr id="6" name="Group 23">
            <a:extLst>
              <a:ext uri="{FF2B5EF4-FFF2-40B4-BE49-F238E27FC236}">
                <a16:creationId xmlns:a16="http://schemas.microsoft.com/office/drawing/2014/main" id="{00000000-0008-0000-0300-000006000000}"/>
              </a:ext>
            </a:extLst>
          </xdr:cNvPr>
          <xdr:cNvGrpSpPr/>
        </xdr:nvGrpSpPr>
        <xdr:grpSpPr>
          <a:xfrm>
            <a:off x="501149" y="2152649"/>
            <a:ext cx="4632824" cy="2477161"/>
            <a:chOff x="501149" y="2152649"/>
            <a:chExt cx="4632824" cy="2477161"/>
          </a:xfrm>
        </xdr:grpSpPr>
        <xdr:grpSp>
          <xdr:nvGrpSpPr>
            <xdr:cNvPr id="8" name="Group 22">
              <a:extLst>
                <a:ext uri="{FF2B5EF4-FFF2-40B4-BE49-F238E27FC236}">
                  <a16:creationId xmlns:a16="http://schemas.microsoft.com/office/drawing/2014/main" id="{00000000-0008-0000-0300-000008000000}"/>
                </a:ext>
              </a:extLst>
            </xdr:cNvPr>
            <xdr:cNvGrpSpPr/>
          </xdr:nvGrpSpPr>
          <xdr:grpSpPr>
            <a:xfrm>
              <a:off x="501149" y="2152649"/>
              <a:ext cx="4632824" cy="2477161"/>
              <a:chOff x="501149" y="2152649"/>
              <a:chExt cx="4632824" cy="2477161"/>
            </a:xfrm>
          </xdr:grpSpPr>
          <xdr:grpSp>
            <xdr:nvGrpSpPr>
              <xdr:cNvPr id="10" name="Group 21">
                <a:extLst>
                  <a:ext uri="{FF2B5EF4-FFF2-40B4-BE49-F238E27FC236}">
                    <a16:creationId xmlns:a16="http://schemas.microsoft.com/office/drawing/2014/main" id="{00000000-0008-0000-0300-00000A000000}"/>
                  </a:ext>
                </a:extLst>
              </xdr:cNvPr>
              <xdr:cNvGrpSpPr/>
            </xdr:nvGrpSpPr>
            <xdr:grpSpPr>
              <a:xfrm>
                <a:off x="501149" y="2152649"/>
                <a:ext cx="4632824" cy="2466028"/>
                <a:chOff x="501149" y="2152649"/>
                <a:chExt cx="4632824" cy="2466028"/>
              </a:xfrm>
            </xdr:grpSpPr>
            <xdr:grpSp>
              <xdr:nvGrpSpPr>
                <xdr:cNvPr id="12" name="Group 20">
                  <a:extLst>
                    <a:ext uri="{FF2B5EF4-FFF2-40B4-BE49-F238E27FC236}">
                      <a16:creationId xmlns:a16="http://schemas.microsoft.com/office/drawing/2014/main" id="{00000000-0008-0000-0300-00000C000000}"/>
                    </a:ext>
                  </a:extLst>
                </xdr:cNvPr>
                <xdr:cNvGrpSpPr/>
              </xdr:nvGrpSpPr>
              <xdr:grpSpPr>
                <a:xfrm>
                  <a:off x="501149" y="2152649"/>
                  <a:ext cx="4632824" cy="2454895"/>
                  <a:chOff x="501149" y="2152649"/>
                  <a:chExt cx="4632824" cy="2454895"/>
                </a:xfrm>
              </xdr:grpSpPr>
              <xdr:pic>
                <xdr:nvPicPr>
                  <xdr:cNvPr id="16" name="Picture 9" descr="MR-TransectDiagram-noSD.jpg">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 cstate="print">
                    <a:lum bright="-2000" contrast="30000"/>
                  </a:blip>
                  <a:srcRect b="16456"/>
                  <a:stretch>
                    <a:fillRect/>
                  </a:stretch>
                </xdr:blipFill>
                <xdr:spPr>
                  <a:xfrm>
                    <a:off x="501149" y="2152649"/>
                    <a:ext cx="4632824" cy="1495427"/>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sp macro="" textlink="">
                <xdr:nvSpPr>
                  <xdr:cNvPr id="15" name="TextBox 13">
                    <a:extLst>
                      <a:ext uri="{FF2B5EF4-FFF2-40B4-BE49-F238E27FC236}">
                        <a16:creationId xmlns:a16="http://schemas.microsoft.com/office/drawing/2014/main" id="{00000000-0008-0000-0300-00000F000000}"/>
                      </a:ext>
                    </a:extLst>
                  </xdr:cNvPr>
                  <xdr:cNvSpPr txBox="1"/>
                </xdr:nvSpPr>
                <xdr:spPr>
                  <a:xfrm>
                    <a:off x="1269979" y="3971925"/>
                    <a:ext cx="815997" cy="63561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b="1" i="1">
                        <a:solidFill>
                          <a:schemeClr val="tx1"/>
                        </a:solidFill>
                        <a:latin typeface="Arial" pitchFamily="34" charset="0"/>
                        <a:cs typeface="Arial" pitchFamily="34" charset="0"/>
                      </a:rPr>
                      <a:t>Auto Dependent</a:t>
                    </a:r>
                  </a:p>
                </xdr:txBody>
              </xdr:sp>
            </xdr:grpSp>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2036549" y="3971925"/>
                  <a:ext cx="811427" cy="646752"/>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b="1" i="1">
                      <a:solidFill>
                        <a:schemeClr val="tx1"/>
                      </a:solidFill>
                      <a:latin typeface="Arial" pitchFamily="34" charset="0"/>
                      <a:cs typeface="Arial" pitchFamily="34" charset="0"/>
                    </a:rPr>
                    <a:t>Intermodal / Auto</a:t>
                  </a:r>
                  <a:r>
                    <a:rPr lang="en-US" sz="1000" b="1" i="1" baseline="0">
                      <a:solidFill>
                        <a:schemeClr val="tx1"/>
                      </a:solidFill>
                      <a:latin typeface="Arial" pitchFamily="34" charset="0"/>
                      <a:cs typeface="Arial" pitchFamily="34" charset="0"/>
                    </a:rPr>
                    <a:t> Reliant</a:t>
                  </a:r>
                  <a:endParaRPr lang="en-US" sz="1000" b="1" i="1">
                    <a:solidFill>
                      <a:schemeClr val="tx1"/>
                    </a:solidFill>
                    <a:latin typeface="Arial" pitchFamily="34" charset="0"/>
                    <a:cs typeface="Arial" pitchFamily="34" charset="0"/>
                  </a:endParaRPr>
                </a:p>
              </xdr:txBody>
            </xdr:sp>
          </xdr:grpSp>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2790936" y="3971924"/>
                <a:ext cx="819039" cy="657886"/>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b="1" i="1">
                    <a:solidFill>
                      <a:schemeClr val="tx1"/>
                    </a:solidFill>
                    <a:latin typeface="Arial" pitchFamily="34" charset="0"/>
                    <a:cs typeface="Arial" pitchFamily="34" charset="0"/>
                  </a:rPr>
                  <a:t>Balanced Intermodal</a:t>
                </a:r>
              </a:p>
            </xdr:txBody>
          </xdr:sp>
        </xdr:grpSp>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3571949" y="3971924"/>
              <a:ext cx="771451" cy="657886"/>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b="1" i="1">
                  <a:solidFill>
                    <a:schemeClr val="bg1"/>
                  </a:solidFill>
                  <a:latin typeface="Arial" pitchFamily="34" charset="0"/>
                  <a:cs typeface="Arial" pitchFamily="34" charset="0"/>
                </a:rPr>
                <a:t>Urban</a:t>
              </a:r>
              <a:r>
                <a:rPr lang="en-US" sz="1000" b="1" i="1" baseline="0">
                  <a:solidFill>
                    <a:schemeClr val="bg1"/>
                  </a:solidFill>
                  <a:latin typeface="Arial" pitchFamily="34" charset="0"/>
                  <a:cs typeface="Arial" pitchFamily="34" charset="0"/>
                </a:rPr>
                <a:t> with Parking</a:t>
              </a:r>
              <a:endParaRPr lang="en-US" sz="1000" b="1" i="1">
                <a:solidFill>
                  <a:schemeClr val="bg1"/>
                </a:solidFill>
                <a:latin typeface="Arial" pitchFamily="34" charset="0"/>
                <a:cs typeface="Arial" pitchFamily="34" charset="0"/>
              </a:endParaRPr>
            </a:p>
          </xdr:txBody>
        </xdr:sp>
      </xdr:grpSp>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4326337" y="3971924"/>
            <a:ext cx="769539" cy="657886"/>
          </a:xfrm>
          <a:prstGeom prst="rect">
            <a:avLst/>
          </a:prstGeom>
          <a:solidFill>
            <a:schemeClr val="accent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b="1" i="1">
                <a:solidFill>
                  <a:schemeClr val="bg1"/>
                </a:solidFill>
                <a:latin typeface="Arial" pitchFamily="34" charset="0"/>
                <a:cs typeface="Arial" pitchFamily="34" charset="0"/>
              </a:rPr>
              <a:t>Urban</a:t>
            </a:r>
          </a:p>
        </xdr:txBody>
      </xdr:sp>
    </xdr:grpSp>
    <xdr:clientData fLocksWithSheet="0"/>
  </xdr:twoCellAnchor>
  <xdr:twoCellAnchor>
    <xdr:from>
      <xdr:col>3</xdr:col>
      <xdr:colOff>47625</xdr:colOff>
      <xdr:row>7</xdr:row>
      <xdr:rowOff>39780</xdr:rowOff>
    </xdr:from>
    <xdr:to>
      <xdr:col>9</xdr:col>
      <xdr:colOff>616324</xdr:colOff>
      <xdr:row>7</xdr:row>
      <xdr:rowOff>544605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549713" y="1933574"/>
          <a:ext cx="8267140" cy="504825"/>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Choose a year between 2012 and</a:t>
          </a:r>
          <a:r>
            <a:rPr lang="en-US" sz="1100" b="1" i="1" baseline="0">
              <a:latin typeface="Arial" pitchFamily="34" charset="0"/>
              <a:cs typeface="Arial" pitchFamily="34" charset="0"/>
            </a:rPr>
            <a:t> 2020 </a:t>
          </a:r>
          <a:r>
            <a:rPr lang="en-US" sz="1100" b="1" i="1">
              <a:latin typeface="Arial" pitchFamily="34" charset="0"/>
              <a:cs typeface="Arial" pitchFamily="34" charset="0"/>
            </a:rPr>
            <a:t>to populate</a:t>
          </a:r>
          <a:r>
            <a:rPr lang="en-US" sz="1100" b="1" i="1" baseline="0">
              <a:latin typeface="Arial" pitchFamily="34" charset="0"/>
              <a:cs typeface="Arial" pitchFamily="34" charset="0"/>
            </a:rPr>
            <a:t> information about station area characteristics</a:t>
          </a:r>
          <a:endParaRPr lang="en-US" sz="1100" b="1" i="1">
            <a:latin typeface="Arial" pitchFamily="34" charset="0"/>
            <a:cs typeface="Arial" pitchFamily="34" charset="0"/>
          </a:endParaRPr>
        </a:p>
      </xdr:txBody>
    </xdr:sp>
    <xdr:clientData fLocksWithSheet="0"/>
  </xdr:twoCellAnchor>
  <xdr:twoCellAnchor>
    <xdr:from>
      <xdr:col>3</xdr:col>
      <xdr:colOff>51538</xdr:colOff>
      <xdr:row>8</xdr:row>
      <xdr:rowOff>11206</xdr:rowOff>
    </xdr:from>
    <xdr:to>
      <xdr:col>9</xdr:col>
      <xdr:colOff>649942</xdr:colOff>
      <xdr:row>9</xdr:row>
      <xdr:rowOff>295835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553626" y="2465294"/>
          <a:ext cx="8296845" cy="598394"/>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Enter total budget to compare against chosen investments costs. These budgets refer only to the new investments.</a:t>
          </a:r>
        </a:p>
      </xdr:txBody>
    </xdr:sp>
    <xdr:clientData/>
  </xdr:twoCellAnchor>
  <xdr:twoCellAnchor>
    <xdr:from>
      <xdr:col>3</xdr:col>
      <xdr:colOff>58831</xdr:colOff>
      <xdr:row>9</xdr:row>
      <xdr:rowOff>310404</xdr:rowOff>
    </xdr:from>
    <xdr:to>
      <xdr:col>9</xdr:col>
      <xdr:colOff>649942</xdr:colOff>
      <xdr:row>10</xdr:row>
      <xdr:rowOff>1019734</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5560919" y="3078257"/>
          <a:ext cx="8289552" cy="1023095"/>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lang="en-US" sz="1100" b="1" i="1">
            <a:latin typeface="Arial" pitchFamily="34" charset="0"/>
            <a:cs typeface="Arial" pitchFamily="34" charset="0"/>
          </a:endParaRPr>
        </a:p>
        <a:p>
          <a:pPr algn="l"/>
          <a:r>
            <a:rPr lang="en-US" sz="1100" b="1" i="1">
              <a:latin typeface="Arial" pitchFamily="34" charset="0"/>
              <a:cs typeface="Arial" pitchFamily="34" charset="0"/>
            </a:rPr>
            <a:t>BART Station - Uses station area characteristics from one of the 44 BART stations. Continue to step 5A</a:t>
          </a:r>
        </a:p>
        <a:p>
          <a:pPr marL="0" marR="0" indent="0" algn="l" defTabSz="914400" eaLnBrk="1" fontAlgn="auto" latinLnBrk="0" hangingPunct="1">
            <a:lnSpc>
              <a:spcPct val="100000"/>
            </a:lnSpc>
            <a:spcBef>
              <a:spcPts val="0"/>
            </a:spcBef>
            <a:spcAft>
              <a:spcPts val="0"/>
            </a:spcAft>
            <a:buClrTx/>
            <a:buSzTx/>
            <a:buFontTx/>
            <a:buNone/>
            <a:tabLst/>
            <a:defRPr/>
          </a:pPr>
          <a:r>
            <a:rPr lang="en-US" sz="1100" b="1" i="1">
              <a:latin typeface="Arial" pitchFamily="34" charset="0"/>
              <a:cs typeface="Arial" pitchFamily="34" charset="0"/>
            </a:rPr>
            <a:t>Non-BART Station - Uses station area characteristics</a:t>
          </a:r>
          <a:r>
            <a:rPr lang="en-US" sz="1100" b="1" i="1" baseline="0">
              <a:latin typeface="Arial" pitchFamily="34" charset="0"/>
              <a:cs typeface="Arial" pitchFamily="34" charset="0"/>
            </a:rPr>
            <a:t> from one of five station typologies that represent range of BART stations.  </a:t>
          </a:r>
          <a:r>
            <a:rPr lang="en-US" sz="1100" b="1" i="1" baseline="0">
              <a:solidFill>
                <a:schemeClr val="dk1"/>
              </a:solidFill>
              <a:latin typeface="Arial" pitchFamily="34" charset="0"/>
              <a:ea typeface="+mn-ea"/>
              <a:cs typeface="Arial" pitchFamily="34" charset="0"/>
            </a:rPr>
            <a:t>The tool is based on BART data. Tool may be transferrable to similar operators but validation of tool to local conditions is recommended before use. </a:t>
          </a:r>
          <a:r>
            <a:rPr lang="en-US" sz="1200" b="1" i="1" baseline="0">
              <a:solidFill>
                <a:schemeClr val="dk1"/>
              </a:solidFill>
              <a:latin typeface="+mn-lt"/>
              <a:ea typeface="+mn-ea"/>
              <a:cs typeface="+mn-cs"/>
            </a:rPr>
            <a:t> </a:t>
          </a:r>
          <a:r>
            <a:rPr lang="en-US" sz="1100" b="1" i="1" baseline="0">
              <a:solidFill>
                <a:schemeClr val="dk1"/>
              </a:solidFill>
              <a:latin typeface="Arial" pitchFamily="34" charset="0"/>
              <a:ea typeface="+mn-ea"/>
              <a:cs typeface="Arial" pitchFamily="34" charset="0"/>
            </a:rPr>
            <a:t>C</a:t>
          </a:r>
          <a:r>
            <a:rPr lang="en-US" sz="1100" b="1" i="1" baseline="0">
              <a:latin typeface="Arial" pitchFamily="34" charset="0"/>
              <a:cs typeface="Arial" pitchFamily="34" charset="0"/>
            </a:rPr>
            <a:t>ontinue to step 5B</a:t>
          </a:r>
        </a:p>
        <a:p>
          <a:pPr algn="l"/>
          <a:endParaRPr lang="en-US" sz="1100" b="1" i="1" baseline="0">
            <a:latin typeface="Arial" pitchFamily="34" charset="0"/>
            <a:cs typeface="Arial" pitchFamily="34" charset="0"/>
          </a:endParaRPr>
        </a:p>
      </xdr:txBody>
    </xdr:sp>
    <xdr:clientData/>
  </xdr:twoCellAnchor>
  <xdr:twoCellAnchor>
    <xdr:from>
      <xdr:col>2</xdr:col>
      <xdr:colOff>268900</xdr:colOff>
      <xdr:row>10</xdr:row>
      <xdr:rowOff>203339</xdr:rowOff>
    </xdr:from>
    <xdr:to>
      <xdr:col>2</xdr:col>
      <xdr:colOff>1602400</xdr:colOff>
      <xdr:row>10</xdr:row>
      <xdr:rowOff>528310</xdr:rowOff>
    </xdr:to>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3888400" y="2511751"/>
          <a:ext cx="1333500"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0">
              <a:latin typeface="Arial" pitchFamily="34" charset="0"/>
              <a:cs typeface="Arial" pitchFamily="34" charset="0"/>
            </a:rPr>
            <a:t>BART Station</a:t>
          </a:r>
        </a:p>
      </xdr:txBody>
    </xdr:sp>
    <xdr:clientData/>
  </xdr:twoCellAnchor>
  <xdr:twoCellAnchor>
    <xdr:from>
      <xdr:col>2</xdr:col>
      <xdr:colOff>257695</xdr:colOff>
      <xdr:row>10</xdr:row>
      <xdr:rowOff>573132</xdr:rowOff>
    </xdr:from>
    <xdr:to>
      <xdr:col>2</xdr:col>
      <xdr:colOff>1815314</xdr:colOff>
      <xdr:row>10</xdr:row>
      <xdr:rowOff>898103</xdr:rowOff>
    </xdr:to>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3877195" y="2881544"/>
          <a:ext cx="1557619"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0">
              <a:latin typeface="Arial" pitchFamily="34" charset="0"/>
              <a:cs typeface="Arial" pitchFamily="34" charset="0"/>
            </a:rPr>
            <a:t>Non-BART Station</a:t>
          </a:r>
        </a:p>
      </xdr:txBody>
    </xdr:sp>
    <xdr:clientData/>
  </xdr:twoCellAnchor>
  <xdr:twoCellAnchor>
    <xdr:from>
      <xdr:col>3</xdr:col>
      <xdr:colOff>33619</xdr:colOff>
      <xdr:row>11</xdr:row>
      <xdr:rowOff>11206</xdr:rowOff>
    </xdr:from>
    <xdr:to>
      <xdr:col>9</xdr:col>
      <xdr:colOff>638736</xdr:colOff>
      <xdr:row>11</xdr:row>
      <xdr:rowOff>1030941</xdr:rowOff>
    </xdr:to>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5535707" y="4146177"/>
          <a:ext cx="8303558" cy="1019735"/>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Choose from one of the 44 BART Stations. Continue to steps</a:t>
          </a:r>
          <a:r>
            <a:rPr lang="en-US" sz="1100" b="1" i="1" baseline="0">
              <a:latin typeface="Arial" pitchFamily="34" charset="0"/>
              <a:cs typeface="Arial" pitchFamily="34" charset="0"/>
            </a:rPr>
            <a:t> 6 and </a:t>
          </a:r>
          <a:r>
            <a:rPr lang="en-US" sz="1100" b="1" i="1">
              <a:latin typeface="Arial" pitchFamily="34" charset="0"/>
              <a:cs typeface="Arial" pitchFamily="34" charset="0"/>
            </a:rPr>
            <a:t>6A</a:t>
          </a:r>
        </a:p>
      </xdr:txBody>
    </xdr:sp>
    <xdr:clientData fLocksWithSheet="0"/>
  </xdr:twoCellAnchor>
  <xdr:twoCellAnchor>
    <xdr:from>
      <xdr:col>3</xdr:col>
      <xdr:colOff>33618</xdr:colOff>
      <xdr:row>12</xdr:row>
      <xdr:rowOff>11206</xdr:rowOff>
    </xdr:from>
    <xdr:to>
      <xdr:col>9</xdr:col>
      <xdr:colOff>649942</xdr:colOff>
      <xdr:row>17</xdr:row>
      <xdr:rowOff>649941</xdr:rowOff>
    </xdr:to>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5535706" y="4146177"/>
          <a:ext cx="8314765" cy="3765176"/>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Choose from one of the five BART Station typologies and continue to steps 6 and 6B.</a:t>
          </a:r>
        </a:p>
        <a:p>
          <a:pPr algn="l"/>
          <a:endParaRPr lang="en-US" sz="1100" b="1" i="1">
            <a:latin typeface="Arial" pitchFamily="34" charset="0"/>
            <a:cs typeface="Arial" pitchFamily="34" charset="0"/>
          </a:endParaRPr>
        </a:p>
        <a:p>
          <a:pPr algn="l"/>
          <a:r>
            <a:rPr lang="en-US" sz="1100" b="1" i="1">
              <a:latin typeface="Arial" pitchFamily="34" charset="0"/>
              <a:cs typeface="Arial" pitchFamily="34" charset="0"/>
            </a:rPr>
            <a:t>Auto Dependent: Focus</a:t>
          </a:r>
          <a:r>
            <a:rPr lang="en-US" sz="1100" b="1" i="1" baseline="0">
              <a:latin typeface="Arial" pitchFamily="34" charset="0"/>
              <a:cs typeface="Arial" pitchFamily="34" charset="0"/>
            </a:rPr>
            <a:t> on auto-based access. Large station footprint, structured and/or surface auto parking, and adjacent highway access. Walk and transit access share predominantly below average. BART examples include East Dublin/Pleasanton, Lafayette, and Pittsburg/Bay Point.</a:t>
          </a:r>
          <a:endParaRPr lang="en-US" sz="1100" b="1" i="1">
            <a:latin typeface="Arial" pitchFamily="34" charset="0"/>
            <a:cs typeface="Arial" pitchFamily="34" charset="0"/>
          </a:endParaRPr>
        </a:p>
        <a:p>
          <a:pPr algn="l"/>
          <a:endParaRPr lang="en-US" sz="1100" b="1" i="1">
            <a:latin typeface="Arial" pitchFamily="34" charset="0"/>
            <a:cs typeface="Arial" pitchFamily="34" charset="0"/>
          </a:endParaRPr>
        </a:p>
        <a:p>
          <a:pPr algn="l"/>
          <a:r>
            <a:rPr lang="en-US" sz="1100" b="1" i="1">
              <a:latin typeface="Arial" pitchFamily="34" charset="0"/>
              <a:cs typeface="Arial" pitchFamily="34" charset="0"/>
            </a:rPr>
            <a:t>Intermodal / Auto Reliant: Well-served</a:t>
          </a:r>
          <a:r>
            <a:rPr lang="en-US" sz="1100" b="1" i="1" baseline="0">
              <a:latin typeface="Arial" pitchFamily="34" charset="0"/>
              <a:cs typeface="Arial" pitchFamily="34" charset="0"/>
            </a:rPr>
            <a:t> by regional and local transit. Large amounts of auto parking provided. Can be found on suburban grid or in residential area. Walk access share is lower than average. BART examples include Daly City, El Cerrito Del Norte, and Walnut Creek.</a:t>
          </a:r>
          <a:endParaRPr lang="en-US" sz="1100" b="1" i="1">
            <a:latin typeface="Arial" pitchFamily="34" charset="0"/>
            <a:cs typeface="Arial" pitchFamily="34" charset="0"/>
          </a:endParaRPr>
        </a:p>
        <a:p>
          <a:pPr algn="l"/>
          <a:endParaRPr lang="en-US" sz="1100" b="1" i="1">
            <a:latin typeface="Arial" pitchFamily="34" charset="0"/>
            <a:cs typeface="Arial" pitchFamily="34" charset="0"/>
          </a:endParaRPr>
        </a:p>
        <a:p>
          <a:pPr algn="l"/>
          <a:r>
            <a:rPr lang="en-US" sz="1100" b="1" i="1">
              <a:latin typeface="Arial" pitchFamily="34" charset="0"/>
              <a:cs typeface="Arial" pitchFamily="34" charset="0"/>
            </a:rPr>
            <a:t>Balanced Intermodal: Well-served</a:t>
          </a:r>
          <a:r>
            <a:rPr lang="en-US" sz="1100" b="1" i="1" baseline="0">
              <a:latin typeface="Arial" pitchFamily="34" charset="0"/>
              <a:cs typeface="Arial" pitchFamily="34" charset="0"/>
            </a:rPr>
            <a:t> by transit that serves primarily corridor and local transit. Auto parking provided, but fills early due to size. Can be found on urban or suburban grid network. Walk access share is moderate. BART examples include Fruitvale, MacArthur, and Rockridge.</a:t>
          </a:r>
          <a:endParaRPr lang="en-US" sz="1100" b="1" i="1">
            <a:latin typeface="Arial" pitchFamily="34" charset="0"/>
            <a:cs typeface="Arial" pitchFamily="34" charset="0"/>
          </a:endParaRPr>
        </a:p>
        <a:p>
          <a:pPr algn="l"/>
          <a:endParaRPr lang="en-US" sz="1100" b="1" i="1">
            <a:latin typeface="Arial" pitchFamily="34" charset="0"/>
            <a:cs typeface="Arial" pitchFamily="34" charset="0"/>
          </a:endParaRPr>
        </a:p>
        <a:p>
          <a:pPr algn="l"/>
          <a:r>
            <a:rPr lang="en-US" sz="1100" b="1" i="1">
              <a:latin typeface="Arial" pitchFamily="34" charset="0"/>
              <a:cs typeface="Arial" pitchFamily="34" charset="0"/>
            </a:rPr>
            <a:t>Urban with Parking: Similar to "Urban", but with small auto parking lots that fill up early. Auto mode share is higher than "Urban"</a:t>
          </a:r>
          <a:r>
            <a:rPr lang="en-US" sz="1100" b="1" i="1" baseline="0">
              <a:latin typeface="Arial" pitchFamily="34" charset="0"/>
              <a:cs typeface="Arial" pitchFamily="34" charset="0"/>
            </a:rPr>
            <a:t> stations. BART examples include Ashby, Lake Merritt, North Berkeley, and Glen Park.</a:t>
          </a:r>
          <a:endParaRPr lang="en-US" sz="1100" b="1" i="1">
            <a:latin typeface="Arial" pitchFamily="34" charset="0"/>
            <a:cs typeface="Arial" pitchFamily="34" charset="0"/>
          </a:endParaRPr>
        </a:p>
        <a:p>
          <a:pPr algn="l"/>
          <a:endParaRPr lang="en-US" sz="1100" b="1" i="1">
            <a:latin typeface="Arial" pitchFamily="34" charset="0"/>
            <a:cs typeface="Arial" pitchFamily="34" charset="0"/>
          </a:endParaRPr>
        </a:p>
        <a:p>
          <a:pPr algn="l"/>
          <a:r>
            <a:rPr lang="en-US" sz="1100" b="1" i="1">
              <a:latin typeface="Arial" pitchFamily="34" charset="0"/>
              <a:cs typeface="Arial" pitchFamily="34" charset="0"/>
            </a:rPr>
            <a:t>Urban: High ridership</a:t>
          </a:r>
          <a:r>
            <a:rPr lang="en-US" sz="1100" b="1" i="1" baseline="0">
              <a:latin typeface="Arial" pitchFamily="34" charset="0"/>
              <a:cs typeface="Arial" pitchFamily="34" charset="0"/>
            </a:rPr>
            <a:t> with high walk, bike, and transit access share. No auto parking provided. Can be found in downtown or neighborhood business district. BART examples include 12th Street Oakland, Downtown Berkeley, and Embarcadero.</a:t>
          </a:r>
          <a:endParaRPr lang="en-US" sz="1100" b="1" i="1">
            <a:latin typeface="Arial" pitchFamily="34" charset="0"/>
            <a:cs typeface="Arial" pitchFamily="34" charset="0"/>
          </a:endParaRPr>
        </a:p>
      </xdr:txBody>
    </xdr:sp>
    <xdr:clientData fLocksWithSheet="0"/>
  </xdr:twoCellAnchor>
  <xdr:twoCellAnchor>
    <xdr:from>
      <xdr:col>1</xdr:col>
      <xdr:colOff>33617</xdr:colOff>
      <xdr:row>28</xdr:row>
      <xdr:rowOff>56028</xdr:rowOff>
    </xdr:from>
    <xdr:to>
      <xdr:col>3</xdr:col>
      <xdr:colOff>3294529</xdr:colOff>
      <xdr:row>30</xdr:row>
      <xdr:rowOff>414617</xdr:rowOff>
    </xdr:to>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493058" y="6824381"/>
          <a:ext cx="8303559" cy="1299883"/>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Review populated pre-investment station characteristics. Input own values or keep</a:t>
          </a:r>
          <a:r>
            <a:rPr lang="en-US" sz="1100" b="1" i="1" baseline="0">
              <a:latin typeface="Arial" pitchFamily="34" charset="0"/>
              <a:cs typeface="Arial" pitchFamily="34" charset="0"/>
            </a:rPr>
            <a:t> defaults. Note that  inputs are in terms of bicycle parking spaces, not facility units.</a:t>
          </a:r>
        </a:p>
        <a:p>
          <a:pPr algn="l"/>
          <a:endParaRPr lang="en-US" sz="1100" b="1" i="1" baseline="0">
            <a:latin typeface="Arial" pitchFamily="34" charset="0"/>
            <a:cs typeface="Arial" pitchFamily="34" charset="0"/>
          </a:endParaRPr>
        </a:p>
        <a:p>
          <a:pPr algn="l"/>
          <a:r>
            <a:rPr lang="en-US" sz="1100" b="1" i="1" baseline="0">
              <a:solidFill>
                <a:srgbClr val="FF0000"/>
              </a:solidFill>
              <a:latin typeface="Arial" pitchFamily="34" charset="0"/>
              <a:cs typeface="Arial" pitchFamily="34" charset="0"/>
            </a:rPr>
            <a:t>Red text </a:t>
          </a:r>
          <a:r>
            <a:rPr lang="en-US" sz="1100" b="1" i="1" baseline="0">
              <a:latin typeface="Arial" pitchFamily="34" charset="0"/>
              <a:cs typeface="Arial" pitchFamily="34" charset="0"/>
            </a:rPr>
            <a:t>indicates an input has been modified from the last loaded default. It is expected that the Non-BART Station defaults will be modified by the user.</a:t>
          </a:r>
          <a:endParaRPr lang="en-US" sz="1100" b="1" i="1">
            <a:latin typeface="Arial" pitchFamily="34" charset="0"/>
            <a:cs typeface="Arial" pitchFamily="34" charset="0"/>
          </a:endParaRPr>
        </a:p>
      </xdr:txBody>
    </xdr:sp>
    <xdr:clientData/>
  </xdr:twoCellAnchor>
  <xdr:twoCellAnchor>
    <xdr:from>
      <xdr:col>5</xdr:col>
      <xdr:colOff>684132</xdr:colOff>
      <xdr:row>32</xdr:row>
      <xdr:rowOff>11207</xdr:rowOff>
    </xdr:from>
    <xdr:to>
      <xdr:col>6</xdr:col>
      <xdr:colOff>705985</xdr:colOff>
      <xdr:row>44</xdr:row>
      <xdr:rowOff>11206</xdr:rowOff>
    </xdr:to>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10366014" y="9581031"/>
          <a:ext cx="963147" cy="3204881"/>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Use scroll bars or enter values directly</a:t>
          </a:r>
        </a:p>
      </xdr:txBody>
    </xdr:sp>
    <xdr:clientData/>
  </xdr:twoCellAnchor>
  <xdr:twoCellAnchor>
    <xdr:from>
      <xdr:col>7</xdr:col>
      <xdr:colOff>89676</xdr:colOff>
      <xdr:row>76</xdr:row>
      <xdr:rowOff>44824</xdr:rowOff>
    </xdr:from>
    <xdr:to>
      <xdr:col>8</xdr:col>
      <xdr:colOff>347410</xdr:colOff>
      <xdr:row>92</xdr:row>
      <xdr:rowOff>0</xdr:rowOff>
    </xdr:to>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11474852" y="14769353"/>
          <a:ext cx="1109382" cy="3182471"/>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Use scroll bars or enter values directly</a:t>
          </a:r>
        </a:p>
      </xdr:txBody>
    </xdr:sp>
    <xdr:clientData/>
  </xdr:twoCellAnchor>
  <xdr:twoCellAnchor>
    <xdr:from>
      <xdr:col>1</xdr:col>
      <xdr:colOff>44824</xdr:colOff>
      <xdr:row>72</xdr:row>
      <xdr:rowOff>44823</xdr:rowOff>
    </xdr:from>
    <xdr:to>
      <xdr:col>4</xdr:col>
      <xdr:colOff>829234</xdr:colOff>
      <xdr:row>74</xdr:row>
      <xdr:rowOff>280148</xdr:rowOff>
    </xdr:to>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504265" y="22736735"/>
          <a:ext cx="9132793" cy="1143001"/>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Select investments for your scenario being tested. Note that investments are in terms of facility</a:t>
          </a:r>
          <a:r>
            <a:rPr lang="en-US" sz="1100" b="1" i="1" baseline="0">
              <a:latin typeface="Arial" pitchFamily="34" charset="0"/>
              <a:cs typeface="Arial" pitchFamily="34" charset="0"/>
            </a:rPr>
            <a:t> units, not spaces.</a:t>
          </a:r>
          <a:endParaRPr lang="en-US" sz="1100" b="1" i="1">
            <a:latin typeface="Arial" pitchFamily="34" charset="0"/>
            <a:cs typeface="Arial" pitchFamily="34" charset="0"/>
          </a:endParaRPr>
        </a:p>
        <a:p>
          <a:pPr algn="l"/>
          <a:endParaRPr lang="en-US" sz="1100" b="1" i="1">
            <a:latin typeface="Arial" pitchFamily="34" charset="0"/>
            <a:cs typeface="Arial" pitchFamily="34" charset="0"/>
          </a:endParaRPr>
        </a:p>
        <a:p>
          <a:pPr algn="l"/>
          <a:r>
            <a:rPr lang="en-US" sz="1100" b="1" i="1">
              <a:solidFill>
                <a:srgbClr val="FF0000"/>
              </a:solidFill>
              <a:latin typeface="Arial" pitchFamily="34" charset="0"/>
              <a:cs typeface="Arial" pitchFamily="34" charset="0"/>
            </a:rPr>
            <a:t>Red</a:t>
          </a:r>
          <a:r>
            <a:rPr lang="en-US" sz="1100" b="1" i="1" baseline="0">
              <a:solidFill>
                <a:srgbClr val="FF0000"/>
              </a:solidFill>
              <a:latin typeface="Arial" pitchFamily="34" charset="0"/>
              <a:cs typeface="Arial" pitchFamily="34" charset="0"/>
            </a:rPr>
            <a:t> text</a:t>
          </a:r>
          <a:r>
            <a:rPr lang="en-US" sz="1100" b="1" i="1" baseline="0">
              <a:latin typeface="Arial" pitchFamily="34" charset="0"/>
              <a:cs typeface="Arial" pitchFamily="34" charset="0"/>
            </a:rPr>
            <a:t> indicates an input below in combination with the pre-investment station characteristic would exceed the amount of that investment believed to increase ridership. Any amount of investment over  the threshold will not increase ridership but still incur costs.</a:t>
          </a:r>
          <a:endParaRPr lang="en-US" sz="1100" b="1" i="1">
            <a:latin typeface="Arial" pitchFamily="34" charset="0"/>
            <a:cs typeface="Arial" pitchFamily="34" charset="0"/>
          </a:endParaRPr>
        </a:p>
      </xdr:txBody>
    </xdr:sp>
    <xdr:clientData/>
  </xdr:twoCellAnchor>
  <xdr:twoCellAnchor>
    <xdr:from>
      <xdr:col>2</xdr:col>
      <xdr:colOff>1064558</xdr:colOff>
      <xdr:row>22</xdr:row>
      <xdr:rowOff>257735</xdr:rowOff>
    </xdr:from>
    <xdr:to>
      <xdr:col>2</xdr:col>
      <xdr:colOff>1411941</xdr:colOff>
      <xdr:row>22</xdr:row>
      <xdr:rowOff>560294</xdr:rowOff>
    </xdr:to>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4684058" y="10208559"/>
          <a:ext cx="347383"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latin typeface="Arial" pitchFamily="34" charset="0"/>
              <a:cs typeface="Arial" pitchFamily="34" charset="0"/>
            </a:rPr>
            <a:t>%</a:t>
          </a:r>
        </a:p>
      </xdr:txBody>
    </xdr:sp>
    <xdr:clientData/>
  </xdr:twoCellAnchor>
  <xdr:twoCellAnchor>
    <xdr:from>
      <xdr:col>2</xdr:col>
      <xdr:colOff>1064558</xdr:colOff>
      <xdr:row>24</xdr:row>
      <xdr:rowOff>268941</xdr:rowOff>
    </xdr:from>
    <xdr:to>
      <xdr:col>2</xdr:col>
      <xdr:colOff>1411941</xdr:colOff>
      <xdr:row>24</xdr:row>
      <xdr:rowOff>571500</xdr:rowOff>
    </xdr:to>
    <xdr:sp macro="" textlink="">
      <xdr:nvSpPr>
        <xdr:cNvPr id="26" name="TextBox 25">
          <a:extLst>
            <a:ext uri="{FF2B5EF4-FFF2-40B4-BE49-F238E27FC236}">
              <a16:creationId xmlns:a16="http://schemas.microsoft.com/office/drawing/2014/main" id="{00000000-0008-0000-0300-00001A000000}"/>
            </a:ext>
          </a:extLst>
        </xdr:cNvPr>
        <xdr:cNvSpPr txBox="1"/>
      </xdr:nvSpPr>
      <xdr:spPr>
        <a:xfrm>
          <a:off x="4684058" y="11743765"/>
          <a:ext cx="347383"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latin typeface="Arial" pitchFamily="34" charset="0"/>
              <a:cs typeface="Arial" pitchFamily="34" charset="0"/>
            </a:rPr>
            <a:t>%</a:t>
          </a:r>
        </a:p>
      </xdr:txBody>
    </xdr:sp>
    <xdr:clientData/>
  </xdr:twoCellAnchor>
  <xdr:twoCellAnchor>
    <xdr:from>
      <xdr:col>3</xdr:col>
      <xdr:colOff>952509</xdr:colOff>
      <xdr:row>25</xdr:row>
      <xdr:rowOff>44823</xdr:rowOff>
    </xdr:from>
    <xdr:to>
      <xdr:col>9</xdr:col>
      <xdr:colOff>224118</xdr:colOff>
      <xdr:row>25</xdr:row>
      <xdr:rowOff>683559</xdr:rowOff>
    </xdr:to>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6454597" y="11217088"/>
          <a:ext cx="6970050" cy="638736"/>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Enter estimated total ridership (including all modes) for scenario year  before new investments. This willl</a:t>
          </a:r>
          <a:r>
            <a:rPr lang="en-US" sz="1100" b="1" i="1" baseline="0">
              <a:latin typeface="Arial" pitchFamily="34" charset="0"/>
              <a:cs typeface="Arial" pitchFamily="34" charset="0"/>
            </a:rPr>
            <a:t> be used to </a:t>
          </a:r>
          <a:r>
            <a:rPr lang="en-US" sz="1100" b="1" i="1">
              <a:latin typeface="Arial" pitchFamily="34" charset="0"/>
              <a:cs typeface="Arial" pitchFamily="34" charset="0"/>
            </a:rPr>
            <a:t>calculate mode share with new investments. </a:t>
          </a:r>
          <a:r>
            <a:rPr lang="en-US" sz="1100" b="1" i="1" baseline="0">
              <a:solidFill>
                <a:srgbClr val="FF0000"/>
              </a:solidFill>
              <a:latin typeface="Arial" pitchFamily="34" charset="0"/>
              <a:ea typeface="+mn-ea"/>
              <a:cs typeface="Arial" pitchFamily="34" charset="0"/>
            </a:rPr>
            <a:t>Red text</a:t>
          </a:r>
          <a:r>
            <a:rPr lang="en-US" sz="1100" b="1" i="1" baseline="0">
              <a:solidFill>
                <a:schemeClr val="dk1"/>
              </a:solidFill>
              <a:latin typeface="Arial" pitchFamily="34" charset="0"/>
              <a:ea typeface="+mn-ea"/>
              <a:cs typeface="Arial" pitchFamily="34" charset="0"/>
            </a:rPr>
            <a:t> indicates an input has been modified from the last loaded default. It is expected that defaults will be edited for non-BART stations.</a:t>
          </a:r>
          <a:endParaRPr lang="en-US" sz="1100" b="1" i="1">
            <a:latin typeface="Arial" pitchFamily="34" charset="0"/>
            <a:cs typeface="Arial" pitchFamily="34" charset="0"/>
          </a:endParaRPr>
        </a:p>
      </xdr:txBody>
    </xdr:sp>
    <xdr:clientData fLocksWithSheet="0"/>
  </xdr:twoCellAnchor>
  <xdr:twoCellAnchor>
    <xdr:from>
      <xdr:col>3</xdr:col>
      <xdr:colOff>963716</xdr:colOff>
      <xdr:row>24</xdr:row>
      <xdr:rowOff>44823</xdr:rowOff>
    </xdr:from>
    <xdr:to>
      <xdr:col>9</xdr:col>
      <xdr:colOff>212912</xdr:colOff>
      <xdr:row>25</xdr:row>
      <xdr:rowOff>11205</xdr:rowOff>
    </xdr:to>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6465804" y="10455088"/>
          <a:ext cx="6947637" cy="728382"/>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100" b="1" i="1">
              <a:solidFill>
                <a:schemeClr val="dk1"/>
              </a:solidFill>
              <a:latin typeface="Arial" pitchFamily="34" charset="0"/>
              <a:ea typeface="+mn-ea"/>
              <a:cs typeface="Arial" pitchFamily="34" charset="0"/>
            </a:rPr>
            <a:t>Enter</a:t>
          </a:r>
          <a:r>
            <a:rPr lang="en-US" sz="1100" b="1" i="1" baseline="0">
              <a:solidFill>
                <a:schemeClr val="dk1"/>
              </a:solidFill>
              <a:latin typeface="Arial" pitchFamily="34" charset="0"/>
              <a:ea typeface="+mn-ea"/>
              <a:cs typeface="Arial" pitchFamily="34" charset="0"/>
            </a:rPr>
            <a:t> bicycle mode share goal for scenario. This goal will be compared against the calculated mode share with new investments. </a:t>
          </a:r>
          <a:r>
            <a:rPr lang="en-US" sz="1100" b="1" i="1" baseline="0">
              <a:solidFill>
                <a:srgbClr val="FF0000"/>
              </a:solidFill>
              <a:latin typeface="Arial" pitchFamily="34" charset="0"/>
              <a:ea typeface="+mn-ea"/>
              <a:cs typeface="Arial" pitchFamily="34" charset="0"/>
            </a:rPr>
            <a:t>Red text </a:t>
          </a:r>
          <a:r>
            <a:rPr lang="en-US" sz="1100" b="1" i="1" baseline="0">
              <a:solidFill>
                <a:schemeClr val="dk1"/>
              </a:solidFill>
              <a:latin typeface="Arial" pitchFamily="34" charset="0"/>
              <a:ea typeface="+mn-ea"/>
              <a:cs typeface="Arial" pitchFamily="34" charset="0"/>
            </a:rPr>
            <a:t>indicates an input has been modified from the last loaded default. It is expected that defaults will be edited for non-BART stations.</a:t>
          </a:r>
          <a:endParaRPr lang="en-US" sz="1100" b="1" i="1">
            <a:solidFill>
              <a:schemeClr val="dk1"/>
            </a:solidFill>
            <a:latin typeface="Arial" pitchFamily="34" charset="0"/>
            <a:ea typeface="+mn-ea"/>
            <a:cs typeface="Arial" pitchFamily="34" charset="0"/>
          </a:endParaRPr>
        </a:p>
      </xdr:txBody>
    </xdr:sp>
    <xdr:clientData fLocksWithSheet="0"/>
  </xdr:twoCellAnchor>
  <xdr:twoCellAnchor>
    <xdr:from>
      <xdr:col>3</xdr:col>
      <xdr:colOff>874070</xdr:colOff>
      <xdr:row>22</xdr:row>
      <xdr:rowOff>44824</xdr:rowOff>
    </xdr:from>
    <xdr:to>
      <xdr:col>9</xdr:col>
      <xdr:colOff>661147</xdr:colOff>
      <xdr:row>22</xdr:row>
      <xdr:rowOff>728381</xdr:rowOff>
    </xdr:to>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6376158" y="7720853"/>
          <a:ext cx="7485518" cy="683557"/>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Enter</a:t>
          </a:r>
          <a:r>
            <a:rPr lang="en-US" sz="1100" b="1" i="1" baseline="0">
              <a:latin typeface="Arial" pitchFamily="34" charset="0"/>
              <a:cs typeface="Arial" pitchFamily="34" charset="0"/>
            </a:rPr>
            <a:t> bicycle mode share goal for scenario. This goal will be compared against the calculated mode share with new investments. For BART stations this value will be pre-populated with the mode share goal from the BART Bicycle Plan but may be edited. </a:t>
          </a:r>
          <a:r>
            <a:rPr lang="en-US" sz="1050" b="1" i="1" baseline="0">
              <a:solidFill>
                <a:srgbClr val="FF0000"/>
              </a:solidFill>
              <a:latin typeface="Arial" pitchFamily="34" charset="0"/>
              <a:ea typeface="+mn-ea"/>
              <a:cs typeface="Arial" pitchFamily="34" charset="0"/>
            </a:rPr>
            <a:t>Red text </a:t>
          </a:r>
          <a:r>
            <a:rPr lang="en-US" sz="1050" b="1" i="1" baseline="0">
              <a:solidFill>
                <a:schemeClr val="dk1"/>
              </a:solidFill>
              <a:latin typeface="Arial" pitchFamily="34" charset="0"/>
              <a:ea typeface="+mn-ea"/>
              <a:cs typeface="Arial" pitchFamily="34" charset="0"/>
            </a:rPr>
            <a:t>indicates an input has been modified from the last loaded default.</a:t>
          </a:r>
          <a:endParaRPr lang="en-US" sz="1050" b="1" i="1">
            <a:latin typeface="Arial" pitchFamily="34" charset="0"/>
            <a:cs typeface="Arial" pitchFamily="34" charset="0"/>
          </a:endParaRPr>
        </a:p>
      </xdr:txBody>
    </xdr:sp>
    <xdr:clientData fLocksWithSheet="0"/>
  </xdr:twoCellAnchor>
  <xdr:twoCellAnchor>
    <xdr:from>
      <xdr:col>3</xdr:col>
      <xdr:colOff>1714518</xdr:colOff>
      <xdr:row>34</xdr:row>
      <xdr:rowOff>22413</xdr:rowOff>
    </xdr:from>
    <xdr:to>
      <xdr:col>3</xdr:col>
      <xdr:colOff>2061901</xdr:colOff>
      <xdr:row>36</xdr:row>
      <xdr:rowOff>212913</xdr:rowOff>
    </xdr:to>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7216606" y="10174942"/>
          <a:ext cx="347383" cy="48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latin typeface="Arial" pitchFamily="34" charset="0"/>
              <a:cs typeface="Arial" pitchFamily="34" charset="0"/>
            </a:rPr>
            <a:t>%</a:t>
          </a:r>
        </a:p>
      </xdr:txBody>
    </xdr:sp>
    <xdr:clientData/>
  </xdr:twoCellAnchor>
  <xdr:twoCellAnchor>
    <xdr:from>
      <xdr:col>3</xdr:col>
      <xdr:colOff>1714465</xdr:colOff>
      <xdr:row>90</xdr:row>
      <xdr:rowOff>22415</xdr:rowOff>
    </xdr:from>
    <xdr:to>
      <xdr:col>3</xdr:col>
      <xdr:colOff>2061848</xdr:colOff>
      <xdr:row>91</xdr:row>
      <xdr:rowOff>212915</xdr:rowOff>
    </xdr:to>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7216553" y="21985944"/>
          <a:ext cx="347383" cy="48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latin typeface="Arial" pitchFamily="34" charset="0"/>
              <a:cs typeface="Arial" pitchFamily="34" charset="0"/>
            </a:rPr>
            <a:t>%</a:t>
          </a:r>
        </a:p>
      </xdr:txBody>
    </xdr:sp>
    <xdr:clientData/>
  </xdr:twoCellAnchor>
  <xdr:twoCellAnchor>
    <xdr:from>
      <xdr:col>1</xdr:col>
      <xdr:colOff>22412</xdr:colOff>
      <xdr:row>47</xdr:row>
      <xdr:rowOff>56028</xdr:rowOff>
    </xdr:from>
    <xdr:to>
      <xdr:col>4</xdr:col>
      <xdr:colOff>0</xdr:colOff>
      <xdr:row>55</xdr:row>
      <xdr:rowOff>168089</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481853" y="14220263"/>
          <a:ext cx="8325971" cy="1725708"/>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Evaluate the Pre-Investment Review</a:t>
          </a:r>
          <a:r>
            <a:rPr lang="en-US" sz="1100" b="1" i="1" baseline="0">
              <a:latin typeface="Arial" pitchFamily="34" charset="0"/>
              <a:cs typeface="Arial" pitchFamily="34" charset="0"/>
            </a:rPr>
            <a:t> on the </a:t>
          </a:r>
          <a:r>
            <a:rPr lang="en-US" sz="1100" b="1" i="1">
              <a:latin typeface="Arial" pitchFamily="34" charset="0"/>
              <a:cs typeface="Arial" pitchFamily="34" charset="0"/>
            </a:rPr>
            <a:t>'Bicycle Parking Investment Summary' tab to determine investment needs  of the station.</a:t>
          </a:r>
        </a:p>
        <a:p>
          <a:pPr algn="l"/>
          <a:endParaRPr lang="en-US" sz="1100" b="1" i="1">
            <a:latin typeface="Arial" pitchFamily="34" charset="0"/>
            <a:cs typeface="Arial" pitchFamily="34" charset="0"/>
          </a:endParaRPr>
        </a:p>
        <a:p>
          <a:pPr algn="l"/>
          <a:r>
            <a:rPr lang="en-US" sz="1100" b="1" i="1">
              <a:latin typeface="Arial" pitchFamily="34" charset="0"/>
              <a:cs typeface="Arial" pitchFamily="34" charset="0"/>
            </a:rPr>
            <a:t>The Pre-Investment</a:t>
          </a:r>
          <a:r>
            <a:rPr lang="en-US" sz="1100" b="1" i="1" baseline="0">
              <a:latin typeface="Arial" pitchFamily="34" charset="0"/>
              <a:cs typeface="Arial" pitchFamily="34" charset="0"/>
            </a:rPr>
            <a:t> Review contains the following information</a:t>
          </a:r>
          <a:endParaRPr lang="en-US" sz="1100" b="1" i="1">
            <a:latin typeface="Arial" pitchFamily="34" charset="0"/>
            <a:cs typeface="Arial" pitchFamily="34" charset="0"/>
          </a:endParaRPr>
        </a:p>
        <a:p>
          <a:pPr algn="l"/>
          <a:endParaRPr lang="en-US" sz="1100" b="1" i="1">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latin typeface="Arial" pitchFamily="34" charset="0"/>
              <a:ea typeface="+mn-ea"/>
              <a:cs typeface="Arial" pitchFamily="34" charset="0"/>
            </a:rPr>
            <a:t>	1.1 - Bicycle parking facility stated preference</a:t>
          </a:r>
        </a:p>
        <a:p>
          <a:pPr algn="l"/>
          <a:endParaRPr lang="en-US" sz="1100" b="1" i="1">
            <a:latin typeface="Arial" pitchFamily="34" charset="0"/>
            <a:cs typeface="Arial" pitchFamily="34" charset="0"/>
          </a:endParaRPr>
        </a:p>
        <a:p>
          <a:pPr algn="l"/>
          <a:r>
            <a:rPr lang="en-US" sz="1100" b="1" i="1">
              <a:latin typeface="Arial" pitchFamily="34" charset="0"/>
              <a:cs typeface="Arial" pitchFamily="34" charset="0"/>
            </a:rPr>
            <a:t>	1.2</a:t>
          </a:r>
          <a:r>
            <a:rPr lang="en-US" sz="1100" b="1" i="1" baseline="0">
              <a:latin typeface="Arial" pitchFamily="34" charset="0"/>
              <a:cs typeface="Arial" pitchFamily="34" charset="0"/>
            </a:rPr>
            <a:t> - </a:t>
          </a:r>
          <a:r>
            <a:rPr lang="en-US" sz="1100" b="1" i="1">
              <a:latin typeface="Arial" pitchFamily="34" charset="0"/>
              <a:cs typeface="Arial" pitchFamily="34" charset="0"/>
            </a:rPr>
            <a:t>Short-term versus long-term</a:t>
          </a:r>
          <a:r>
            <a:rPr lang="en-US" sz="1100" b="1" i="1" baseline="0">
              <a:latin typeface="Arial" pitchFamily="34" charset="0"/>
              <a:cs typeface="Arial" pitchFamily="34" charset="0"/>
            </a:rPr>
            <a:t> </a:t>
          </a:r>
          <a:r>
            <a:rPr lang="en-US" sz="1100" b="1" i="1">
              <a:latin typeface="Arial" pitchFamily="34" charset="0"/>
              <a:cs typeface="Arial" pitchFamily="34" charset="0"/>
            </a:rPr>
            <a:t>bicycle parking </a:t>
          </a:r>
        </a:p>
        <a:p>
          <a:pPr algn="l"/>
          <a:endParaRPr lang="en-US" sz="1100" b="1" i="1">
            <a:latin typeface="Arial" pitchFamily="34" charset="0"/>
            <a:cs typeface="Arial" pitchFamily="34" charset="0"/>
          </a:endParaRPr>
        </a:p>
        <a:p>
          <a:pPr algn="l"/>
          <a:r>
            <a:rPr lang="en-US" sz="1100" b="1" i="1">
              <a:latin typeface="Arial" pitchFamily="34" charset="0"/>
              <a:cs typeface="Arial" pitchFamily="34" charset="0"/>
            </a:rPr>
            <a:t>These figures</a:t>
          </a:r>
          <a:r>
            <a:rPr lang="en-US" sz="1100" b="1" i="1" baseline="0">
              <a:latin typeface="Arial" pitchFamily="34" charset="0"/>
              <a:cs typeface="Arial" pitchFamily="34" charset="0"/>
            </a:rPr>
            <a:t> should be used to help formulate station investments in step 9.</a:t>
          </a:r>
          <a:endParaRPr lang="en-US" sz="1100" b="1" i="1">
            <a:latin typeface="Arial" pitchFamily="34" charset="0"/>
            <a:cs typeface="Arial" pitchFamily="34" charset="0"/>
          </a:endParaRPr>
        </a:p>
      </xdr:txBody>
    </xdr:sp>
    <xdr:clientData/>
  </xdr:twoCellAnchor>
  <xdr:twoCellAnchor>
    <xdr:from>
      <xdr:col>1</xdr:col>
      <xdr:colOff>22412</xdr:colOff>
      <xdr:row>107</xdr:row>
      <xdr:rowOff>44824</xdr:rowOff>
    </xdr:from>
    <xdr:to>
      <xdr:col>4</xdr:col>
      <xdr:colOff>11205</xdr:colOff>
      <xdr:row>117</xdr:row>
      <xdr:rowOff>179294</xdr:rowOff>
    </xdr:to>
    <xdr:sp macro="" textlink="">
      <xdr:nvSpPr>
        <xdr:cNvPr id="41" name="TextBox 40">
          <a:extLst>
            <a:ext uri="{FF2B5EF4-FFF2-40B4-BE49-F238E27FC236}">
              <a16:creationId xmlns:a16="http://schemas.microsoft.com/office/drawing/2014/main" id="{00000000-0008-0000-0300-000029000000}"/>
            </a:ext>
          </a:extLst>
        </xdr:cNvPr>
        <xdr:cNvSpPr txBox="1"/>
      </xdr:nvSpPr>
      <xdr:spPr>
        <a:xfrm>
          <a:off x="481853" y="25739912"/>
          <a:ext cx="8337176" cy="1949823"/>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Evaluate the Post-Investment</a:t>
          </a:r>
          <a:r>
            <a:rPr lang="en-US" sz="1100" b="1" i="1" baseline="0">
              <a:latin typeface="Arial" pitchFamily="34" charset="0"/>
              <a:cs typeface="Arial" pitchFamily="34" charset="0"/>
            </a:rPr>
            <a:t> Review on the </a:t>
          </a:r>
          <a:r>
            <a:rPr lang="en-US" sz="1100" b="1" i="1">
              <a:latin typeface="Arial" pitchFamily="34" charset="0"/>
              <a:cs typeface="Arial" pitchFamily="34" charset="0"/>
            </a:rPr>
            <a:t>'Bicycle Parking Investment Summary'</a:t>
          </a:r>
          <a:r>
            <a:rPr lang="en-US" sz="1100" b="1" i="1" baseline="0">
              <a:latin typeface="Arial" pitchFamily="34" charset="0"/>
              <a:cs typeface="Arial" pitchFamily="34" charset="0"/>
            </a:rPr>
            <a:t> tab </a:t>
          </a:r>
          <a:r>
            <a:rPr lang="en-US" sz="1100" b="1" i="1">
              <a:latin typeface="Arial" pitchFamily="34" charset="0"/>
              <a:cs typeface="Arial" pitchFamily="34" charset="0"/>
            </a:rPr>
            <a:t>to determine if investments serve needs of the station</a:t>
          </a:r>
        </a:p>
        <a:p>
          <a:pPr algn="l"/>
          <a:endParaRPr lang="en-US" sz="1100" b="1" i="1">
            <a:latin typeface="Arial" pitchFamily="34" charset="0"/>
            <a:cs typeface="Arial" pitchFamily="34" charset="0"/>
          </a:endParaRPr>
        </a:p>
        <a:p>
          <a:pPr algn="l"/>
          <a:r>
            <a:rPr lang="en-US" sz="1100" b="1" i="1">
              <a:latin typeface="Arial" pitchFamily="34" charset="0"/>
              <a:cs typeface="Arial" pitchFamily="34" charset="0"/>
            </a:rPr>
            <a:t>The Post-Investment Review contains the following information</a:t>
          </a:r>
        </a:p>
        <a:p>
          <a:pPr algn="l"/>
          <a:endParaRPr lang="en-US" sz="1100" b="1" i="1">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latin typeface="Arial" pitchFamily="34" charset="0"/>
              <a:ea typeface="+mn-ea"/>
              <a:cs typeface="Arial" pitchFamily="34" charset="0"/>
            </a:rPr>
            <a:t>	2.1 - Daily Bicycle Access Ridership Increase</a:t>
          </a:r>
          <a:endParaRPr lang="en-US">
            <a:latin typeface="Arial" pitchFamily="34" charset="0"/>
            <a:cs typeface="Arial" pitchFamily="34" charset="0"/>
          </a:endParaRPr>
        </a:p>
        <a:p>
          <a:pPr algn="l"/>
          <a:endParaRPr lang="en-US" sz="1100" b="1" i="1">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latin typeface="Arial" pitchFamily="34" charset="0"/>
              <a:ea typeface="+mn-ea"/>
              <a:cs typeface="Arial" pitchFamily="34" charset="0"/>
            </a:rPr>
            <a:t>	2.2 - Daily Bicycle</a:t>
          </a:r>
          <a:r>
            <a:rPr lang="en-US" sz="1100" b="1" i="1" baseline="0">
              <a:solidFill>
                <a:schemeClr val="dk1"/>
              </a:solidFill>
              <a:latin typeface="Arial" pitchFamily="34" charset="0"/>
              <a:ea typeface="+mn-ea"/>
              <a:cs typeface="Arial" pitchFamily="34" charset="0"/>
            </a:rPr>
            <a:t> Access Ridership Increase by Investment</a:t>
          </a:r>
          <a:endParaRPr lang="en-US" sz="1100">
            <a:solidFill>
              <a:schemeClr val="dk1"/>
            </a:solidFill>
            <a:latin typeface="Arial" pitchFamily="34" charset="0"/>
            <a:ea typeface="+mn-ea"/>
            <a:cs typeface="Arial" pitchFamily="34" charset="0"/>
          </a:endParaRPr>
        </a:p>
        <a:p>
          <a:pPr algn="l"/>
          <a:endParaRPr lang="en-US" sz="1100" b="1" i="1">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latin typeface="Arial" pitchFamily="34" charset="0"/>
              <a:ea typeface="+mn-ea"/>
              <a:cs typeface="Arial" pitchFamily="34" charset="0"/>
            </a:rPr>
            <a:t>	2.3 - Bike Access Mode Share</a:t>
          </a:r>
          <a:endParaRPr lang="en-US" sz="1100">
            <a:solidFill>
              <a:schemeClr val="dk1"/>
            </a:solidFill>
            <a:latin typeface="Arial" pitchFamily="34" charset="0"/>
            <a:ea typeface="+mn-ea"/>
            <a:cs typeface="Arial" pitchFamily="34" charset="0"/>
          </a:endParaRPr>
        </a:p>
        <a:p>
          <a:pPr algn="l"/>
          <a:endParaRPr lang="en-US" sz="1100" b="1" i="1">
            <a:latin typeface="Arial" pitchFamily="34" charset="0"/>
            <a:cs typeface="Arial" pitchFamily="34" charset="0"/>
          </a:endParaRPr>
        </a:p>
        <a:p>
          <a:pPr algn="l"/>
          <a:r>
            <a:rPr lang="en-US" sz="1100" b="1" i="1">
              <a:latin typeface="Arial" pitchFamily="34" charset="0"/>
              <a:cs typeface="Arial" pitchFamily="34" charset="0"/>
            </a:rPr>
            <a:t>After review of</a:t>
          </a:r>
          <a:r>
            <a:rPr lang="en-US" sz="1100" b="1" i="1" baseline="0">
              <a:latin typeface="Arial" pitchFamily="34" charset="0"/>
              <a:cs typeface="Arial" pitchFamily="34" charset="0"/>
            </a:rPr>
            <a:t> the above, adjust </a:t>
          </a:r>
          <a:r>
            <a:rPr lang="en-US" sz="1100" b="1" i="1">
              <a:latin typeface="Arial" pitchFamily="34" charset="0"/>
              <a:cs typeface="Arial" pitchFamily="34" charset="0"/>
            </a:rPr>
            <a:t>investments in step 9 as desired.</a:t>
          </a:r>
        </a:p>
      </xdr:txBody>
    </xdr:sp>
    <xdr:clientData/>
  </xdr:twoCellAnchor>
  <xdr:twoCellAnchor>
    <xdr:from>
      <xdr:col>4</xdr:col>
      <xdr:colOff>44823</xdr:colOff>
      <xdr:row>20</xdr:row>
      <xdr:rowOff>44823</xdr:rowOff>
    </xdr:from>
    <xdr:to>
      <xdr:col>8</xdr:col>
      <xdr:colOff>616323</xdr:colOff>
      <xdr:row>21</xdr:row>
      <xdr:rowOff>638736</xdr:rowOff>
    </xdr:to>
    <xdr:sp macro="" textlink="">
      <xdr:nvSpPr>
        <xdr:cNvPr id="44" name="TextBox 43">
          <a:extLst>
            <a:ext uri="{FF2B5EF4-FFF2-40B4-BE49-F238E27FC236}">
              <a16:creationId xmlns:a16="http://schemas.microsoft.com/office/drawing/2014/main" id="{00000000-0008-0000-0300-00002C000000}"/>
            </a:ext>
          </a:extLst>
        </xdr:cNvPr>
        <xdr:cNvSpPr txBox="1"/>
      </xdr:nvSpPr>
      <xdr:spPr>
        <a:xfrm>
          <a:off x="8852647" y="6398558"/>
          <a:ext cx="4090147" cy="1255060"/>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These values will populate when you load all default values</a:t>
          </a:r>
        </a:p>
      </xdr:txBody>
    </xdr:sp>
    <xdr:clientData/>
  </xdr:twoCellAnchor>
  <xdr:twoCellAnchor>
    <xdr:from>
      <xdr:col>1</xdr:col>
      <xdr:colOff>2398060</xdr:colOff>
      <xdr:row>8</xdr:row>
      <xdr:rowOff>33617</xdr:rowOff>
    </xdr:from>
    <xdr:to>
      <xdr:col>1</xdr:col>
      <xdr:colOff>3148854</xdr:colOff>
      <xdr:row>9</xdr:row>
      <xdr:rowOff>33618</xdr:rowOff>
    </xdr:to>
    <xdr:sp macro="" textlink="">
      <xdr:nvSpPr>
        <xdr:cNvPr id="39" name="TextBox 38">
          <a:extLst>
            <a:ext uri="{FF2B5EF4-FFF2-40B4-BE49-F238E27FC236}">
              <a16:creationId xmlns:a16="http://schemas.microsoft.com/office/drawing/2014/main" id="{00000000-0008-0000-0300-000027000000}"/>
            </a:ext>
          </a:extLst>
        </xdr:cNvPr>
        <xdr:cNvSpPr txBox="1"/>
      </xdr:nvSpPr>
      <xdr:spPr>
        <a:xfrm>
          <a:off x="2857501" y="1636058"/>
          <a:ext cx="750794" cy="313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latin typeface="Arial" pitchFamily="34" charset="0"/>
              <a:cs typeface="Arial" pitchFamily="34" charset="0"/>
            </a:rPr>
            <a:t>Capital</a:t>
          </a:r>
        </a:p>
      </xdr:txBody>
    </xdr:sp>
    <xdr:clientData/>
  </xdr:twoCellAnchor>
  <xdr:twoCellAnchor>
    <xdr:from>
      <xdr:col>1</xdr:col>
      <xdr:colOff>1669694</xdr:colOff>
      <xdr:row>9</xdr:row>
      <xdr:rowOff>44824</xdr:rowOff>
    </xdr:from>
    <xdr:to>
      <xdr:col>1</xdr:col>
      <xdr:colOff>3148852</xdr:colOff>
      <xdr:row>9</xdr:row>
      <xdr:rowOff>268945</xdr:rowOff>
    </xdr:to>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2129135" y="1961030"/>
          <a:ext cx="1479158" cy="224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a:latin typeface="Arial" pitchFamily="34" charset="0"/>
              <a:cs typeface="Arial" pitchFamily="34" charset="0"/>
            </a:rPr>
            <a:t>Annual Operating</a:t>
          </a:r>
        </a:p>
      </xdr:txBody>
    </xdr:sp>
    <xdr:clientData/>
  </xdr:twoCellAnchor>
  <xdr:twoCellAnchor>
    <xdr:from>
      <xdr:col>1</xdr:col>
      <xdr:colOff>67236</xdr:colOff>
      <xdr:row>94</xdr:row>
      <xdr:rowOff>1</xdr:rowOff>
    </xdr:from>
    <xdr:to>
      <xdr:col>6</xdr:col>
      <xdr:colOff>795618</xdr:colOff>
      <xdr:row>104</xdr:row>
      <xdr:rowOff>33618</xdr:rowOff>
    </xdr:to>
    <xdr:graphicFrame macro="">
      <xdr:nvGraphicFramePr>
        <xdr:cNvPr id="46" name="Chart 45">
          <a:extLst>
            <a:ext uri="{FF2B5EF4-FFF2-40B4-BE49-F238E27FC236}">
              <a16:creationId xmlns:a16="http://schemas.microsoft.com/office/drawing/2014/main" id="{00000000-0008-0000-0300-00002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885274</xdr:colOff>
      <xdr:row>23</xdr:row>
      <xdr:rowOff>11205</xdr:rowOff>
    </xdr:from>
    <xdr:to>
      <xdr:col>9</xdr:col>
      <xdr:colOff>649942</xdr:colOff>
      <xdr:row>23</xdr:row>
      <xdr:rowOff>739588</xdr:rowOff>
    </xdr:to>
    <xdr:sp macro="" textlink="">
      <xdr:nvSpPr>
        <xdr:cNvPr id="43" name="TextBox 42">
          <a:extLst>
            <a:ext uri="{FF2B5EF4-FFF2-40B4-BE49-F238E27FC236}">
              <a16:creationId xmlns:a16="http://schemas.microsoft.com/office/drawing/2014/main" id="{00000000-0008-0000-0300-00002B000000}"/>
            </a:ext>
          </a:extLst>
        </xdr:cNvPr>
        <xdr:cNvSpPr txBox="1"/>
      </xdr:nvSpPr>
      <xdr:spPr>
        <a:xfrm>
          <a:off x="6387362" y="8449234"/>
          <a:ext cx="7463109" cy="728383"/>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Enter estimated total ridership (including all modes) for scenario year  before new investments. This willl</a:t>
          </a:r>
          <a:r>
            <a:rPr lang="en-US" sz="1100" b="1" i="1" baseline="0">
              <a:latin typeface="Arial" pitchFamily="34" charset="0"/>
              <a:cs typeface="Arial" pitchFamily="34" charset="0"/>
            </a:rPr>
            <a:t> be used to </a:t>
          </a:r>
          <a:r>
            <a:rPr lang="en-US" sz="1100" b="1" i="1">
              <a:latin typeface="Arial" pitchFamily="34" charset="0"/>
              <a:cs typeface="Arial" pitchFamily="34" charset="0"/>
            </a:rPr>
            <a:t>calculate mode share with new investments. For BART stations this value</a:t>
          </a:r>
          <a:r>
            <a:rPr lang="en-US" sz="1100" b="1" i="1" baseline="0">
              <a:latin typeface="Arial" pitchFamily="34" charset="0"/>
              <a:cs typeface="Arial" pitchFamily="34" charset="0"/>
            </a:rPr>
            <a:t> will be pre-populated with estimated total ridership for scenario year from BART estimates but may be edited. </a:t>
          </a:r>
          <a:r>
            <a:rPr lang="en-US" sz="1050" b="1" i="1" baseline="0">
              <a:solidFill>
                <a:srgbClr val="FF0000"/>
              </a:solidFill>
              <a:latin typeface="Arial" pitchFamily="34" charset="0"/>
              <a:ea typeface="+mn-ea"/>
              <a:cs typeface="Arial" pitchFamily="34" charset="0"/>
            </a:rPr>
            <a:t>Red text </a:t>
          </a:r>
          <a:r>
            <a:rPr lang="en-US" sz="1050" b="1" i="1" baseline="0">
              <a:solidFill>
                <a:schemeClr val="dk1"/>
              </a:solidFill>
              <a:latin typeface="Arial" pitchFamily="34" charset="0"/>
              <a:ea typeface="+mn-ea"/>
              <a:cs typeface="Arial" pitchFamily="34" charset="0"/>
            </a:rPr>
            <a:t>indicates an input has been modified from the last loaded default.</a:t>
          </a:r>
          <a:endParaRPr lang="en-US" sz="1050" b="1" i="1">
            <a:latin typeface="Arial" pitchFamily="34" charset="0"/>
            <a:cs typeface="Arial" pitchFamily="34" charset="0"/>
          </a:endParaRPr>
        </a:p>
      </xdr:txBody>
    </xdr:sp>
    <xdr:clientData fLocksWithSheet="0"/>
  </xdr:twoCellAnchor>
  <xdr:twoCellAnchor>
    <xdr:from>
      <xdr:col>11</xdr:col>
      <xdr:colOff>1064558</xdr:colOff>
      <xdr:row>22</xdr:row>
      <xdr:rowOff>257735</xdr:rowOff>
    </xdr:from>
    <xdr:to>
      <xdr:col>11</xdr:col>
      <xdr:colOff>1411941</xdr:colOff>
      <xdr:row>22</xdr:row>
      <xdr:rowOff>560294</xdr:rowOff>
    </xdr:to>
    <xdr:sp macro="" textlink="">
      <xdr:nvSpPr>
        <xdr:cNvPr id="45" name="TextBox 44">
          <a:extLst>
            <a:ext uri="{FF2B5EF4-FFF2-40B4-BE49-F238E27FC236}">
              <a16:creationId xmlns:a16="http://schemas.microsoft.com/office/drawing/2014/main" id="{00000000-0008-0000-0300-00002D000000}"/>
            </a:ext>
          </a:extLst>
        </xdr:cNvPr>
        <xdr:cNvSpPr txBox="1"/>
      </xdr:nvSpPr>
      <xdr:spPr>
        <a:xfrm>
          <a:off x="4684058" y="6420970"/>
          <a:ext cx="347383"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latin typeface="Arial" pitchFamily="34" charset="0"/>
              <a:cs typeface="Arial" pitchFamily="34" charset="0"/>
            </a:rPr>
            <a:t>%</a:t>
          </a:r>
        </a:p>
      </xdr:txBody>
    </xdr:sp>
    <xdr:clientData/>
  </xdr:twoCellAnchor>
  <xdr:twoCellAnchor editAs="oneCell">
    <xdr:from>
      <xdr:col>2</xdr:col>
      <xdr:colOff>1254520</xdr:colOff>
      <xdr:row>0</xdr:row>
      <xdr:rowOff>22412</xdr:rowOff>
    </xdr:from>
    <xdr:to>
      <xdr:col>2</xdr:col>
      <xdr:colOff>1804672</xdr:colOff>
      <xdr:row>1</xdr:row>
      <xdr:rowOff>179294</xdr:rowOff>
    </xdr:to>
    <xdr:pic>
      <xdr:nvPicPr>
        <xdr:cNvPr id="47" name="Picture 46" descr="C:\Users\thenry\Desktop\500px-Bart-logo.svg_.png">
          <a:extLst>
            <a:ext uri="{FF2B5EF4-FFF2-40B4-BE49-F238E27FC236}">
              <a16:creationId xmlns:a16="http://schemas.microsoft.com/office/drawing/2014/main" id="{00000000-0008-0000-0300-00002F000000}"/>
            </a:ext>
          </a:extLst>
        </xdr:cNvPr>
        <xdr:cNvPicPr/>
      </xdr:nvPicPr>
      <xdr:blipFill>
        <a:blip xmlns:r="http://schemas.openxmlformats.org/officeDocument/2006/relationships" r:embed="rId3" cstate="print"/>
        <a:stretch>
          <a:fillRect/>
        </a:stretch>
      </xdr:blipFill>
      <xdr:spPr bwMode="auto">
        <a:xfrm>
          <a:off x="4874020" y="22412"/>
          <a:ext cx="550152" cy="347382"/>
        </a:xfrm>
        <a:prstGeom prst="rect">
          <a:avLst/>
        </a:prstGeom>
        <a:noFill/>
        <a:ln w="9525">
          <a:noFill/>
          <a:miter lim="800000"/>
          <a:headEnd/>
          <a:tailEnd/>
        </a:ln>
      </xdr:spPr>
    </xdr:pic>
    <xdr:clientData/>
  </xdr:twoCellAnchor>
  <xdr:twoCellAnchor>
    <xdr:from>
      <xdr:col>1</xdr:col>
      <xdr:colOff>56031</xdr:colOff>
      <xdr:row>18</xdr:row>
      <xdr:rowOff>44824</xdr:rowOff>
    </xdr:from>
    <xdr:to>
      <xdr:col>4</xdr:col>
      <xdr:colOff>11206</xdr:colOff>
      <xdr:row>18</xdr:row>
      <xdr:rowOff>649943</xdr:rowOff>
    </xdr:to>
    <xdr:sp macro="" textlink="">
      <xdr:nvSpPr>
        <xdr:cNvPr id="49" name="TextBox 48">
          <a:extLst>
            <a:ext uri="{FF2B5EF4-FFF2-40B4-BE49-F238E27FC236}">
              <a16:creationId xmlns:a16="http://schemas.microsoft.com/office/drawing/2014/main" id="{00000000-0008-0000-0300-000031000000}"/>
            </a:ext>
          </a:extLst>
        </xdr:cNvPr>
        <xdr:cNvSpPr txBox="1"/>
      </xdr:nvSpPr>
      <xdr:spPr>
        <a:xfrm>
          <a:off x="515472" y="4762500"/>
          <a:ext cx="8303558" cy="605119"/>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Press</a:t>
          </a:r>
          <a:r>
            <a:rPr lang="en-US" sz="1100" b="1" i="1" baseline="0">
              <a:latin typeface="Arial" pitchFamily="34" charset="0"/>
              <a:cs typeface="Arial" pitchFamily="34" charset="0"/>
            </a:rPr>
            <a:t> the button below to load default values to your station or station typology selected above.</a:t>
          </a:r>
          <a:endParaRPr lang="en-US" sz="1100" b="1" i="1">
            <a:latin typeface="Arial" pitchFamily="34" charset="0"/>
            <a:cs typeface="Arial" pitchFamily="34" charset="0"/>
          </a:endParaRPr>
        </a:p>
      </xdr:txBody>
    </xdr:sp>
    <xdr:clientData/>
  </xdr:twoCellAnchor>
  <xdr:twoCellAnchor>
    <xdr:from>
      <xdr:col>1</xdr:col>
      <xdr:colOff>33617</xdr:colOff>
      <xdr:row>58</xdr:row>
      <xdr:rowOff>67234</xdr:rowOff>
    </xdr:from>
    <xdr:to>
      <xdr:col>7</xdr:col>
      <xdr:colOff>829235</xdr:colOff>
      <xdr:row>61</xdr:row>
      <xdr:rowOff>257735</xdr:rowOff>
    </xdr:to>
    <xdr:sp macro="" textlink="">
      <xdr:nvSpPr>
        <xdr:cNvPr id="50" name="TextBox 49">
          <a:extLst>
            <a:ext uri="{FF2B5EF4-FFF2-40B4-BE49-F238E27FC236}">
              <a16:creationId xmlns:a16="http://schemas.microsoft.com/office/drawing/2014/main" id="{00000000-0008-0000-0300-000032000000}"/>
            </a:ext>
          </a:extLst>
        </xdr:cNvPr>
        <xdr:cNvSpPr txBox="1"/>
      </xdr:nvSpPr>
      <xdr:spPr>
        <a:xfrm>
          <a:off x="493058" y="18052675"/>
          <a:ext cx="11811001" cy="1860178"/>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100" b="1" i="1">
              <a:latin typeface="Arial" pitchFamily="34" charset="0"/>
              <a:cs typeface="Arial" pitchFamily="34" charset="0"/>
            </a:rPr>
            <a:t>Before selecting station investments review</a:t>
          </a:r>
          <a:r>
            <a:rPr lang="en-US" sz="1100" b="1" i="1" baseline="0">
              <a:latin typeface="Arial" pitchFamily="34" charset="0"/>
              <a:cs typeface="Arial" pitchFamily="34" charset="0"/>
            </a:rPr>
            <a:t> the combination of stated preference survey data and pre-investment peak occupancy to determine if adding a facility type will increase ridership. See the "Assumptions and Constraints" tab for a detailed explanation of the methodology. If a facility type is eligible to increase ridership it will display a  upward green arrow. Facility types not eligible to increase ridership will display a sideways black arrow. Bicycle cages use the self serve bike station survey and occupancy data for their calculations.</a:t>
          </a:r>
        </a:p>
        <a:p>
          <a:pPr algn="l"/>
          <a:endParaRPr lang="en-US" sz="1100" b="1" i="1" baseline="0">
            <a:latin typeface="Arial" pitchFamily="34" charset="0"/>
            <a:cs typeface="Arial" pitchFamily="34" charset="0"/>
          </a:endParaRPr>
        </a:p>
        <a:p>
          <a:pPr algn="l"/>
          <a:r>
            <a:rPr lang="en-US" sz="1100" b="1" i="1" baseline="0">
              <a:latin typeface="Arial" pitchFamily="34" charset="0"/>
              <a:cs typeface="Arial" pitchFamily="34" charset="0"/>
            </a:rPr>
            <a:t>All values will be pre-populated based on BART data. All users may BART users may edit the occupancy data. BART survey data was used to populate this tool. Non-BART users may edit the survey rank and occupancy data.  If an investment does not exist at the station enter "DNE" for occupancy. </a:t>
          </a:r>
          <a:r>
            <a:rPr lang="en-US" sz="1100" b="1" i="1" baseline="0">
              <a:solidFill>
                <a:srgbClr val="FF0000"/>
              </a:solidFill>
              <a:latin typeface="Arial" pitchFamily="34" charset="0"/>
              <a:cs typeface="Arial" pitchFamily="34" charset="0"/>
            </a:rPr>
            <a:t>Red text</a:t>
          </a:r>
          <a:r>
            <a:rPr lang="en-US" sz="1100" b="1" i="1" baseline="0">
              <a:solidFill>
                <a:sysClr val="windowText" lastClr="000000"/>
              </a:solidFill>
              <a:latin typeface="Arial" pitchFamily="34" charset="0"/>
              <a:cs typeface="Arial" pitchFamily="34" charset="0"/>
            </a:rPr>
            <a:t> indicates </a:t>
          </a:r>
          <a:r>
            <a:rPr lang="en-US" sz="1100" b="1" i="1" baseline="0">
              <a:latin typeface="Arial" pitchFamily="34" charset="0"/>
              <a:cs typeface="Arial" pitchFamily="34" charset="0"/>
            </a:rPr>
            <a:t>an input has been changed from the last loaded default.</a:t>
          </a:r>
        </a:p>
        <a:p>
          <a:pPr algn="l"/>
          <a:endParaRPr lang="en-US" sz="1100" b="1" i="1" baseline="0">
            <a:latin typeface="Arial" pitchFamily="34" charset="0"/>
            <a:cs typeface="Arial" pitchFamily="34" charset="0"/>
          </a:endParaRPr>
        </a:p>
        <a:p>
          <a:pPr algn="l"/>
          <a:r>
            <a:rPr lang="en-US" sz="1100" b="1" i="1" baseline="0">
              <a:latin typeface="Arial" pitchFamily="34" charset="0"/>
              <a:cs typeface="Arial" pitchFamily="34" charset="0"/>
            </a:rPr>
            <a:t>If the combination of survey and occupancy data indicates that no bicycle parking investments can increase bicycle access ridership, an alert in </a:t>
          </a:r>
          <a:r>
            <a:rPr lang="en-US" sz="1100" b="1" i="1" baseline="0">
              <a:solidFill>
                <a:srgbClr val="FF0000"/>
              </a:solidFill>
              <a:latin typeface="Arial" pitchFamily="34" charset="0"/>
              <a:cs typeface="Arial" pitchFamily="34" charset="0"/>
            </a:rPr>
            <a:t>red text </a:t>
          </a:r>
          <a:r>
            <a:rPr lang="en-US" sz="1100" b="1" i="1" baseline="0">
              <a:latin typeface="Arial" pitchFamily="34" charset="0"/>
              <a:cs typeface="Arial" pitchFamily="34" charset="0"/>
            </a:rPr>
            <a:t>will appear below this table.</a:t>
          </a:r>
          <a:endParaRPr lang="en-US" sz="1100" b="1" i="1">
            <a:latin typeface="Wingdings" pitchFamily="2" charset="2"/>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2</xdr:col>
          <xdr:colOff>38100</xdr:colOff>
          <xdr:row>10</xdr:row>
          <xdr:rowOff>19050</xdr:rowOff>
        </xdr:from>
        <xdr:to>
          <xdr:col>2</xdr:col>
          <xdr:colOff>1828800</xdr:colOff>
          <xdr:row>11</xdr:row>
          <xdr:rowOff>0</xdr:rowOff>
        </xdr:to>
        <xdr:sp macro="" textlink="">
          <xdr:nvSpPr>
            <xdr:cNvPr id="6194" name="Group Box 50"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10</xdr:row>
          <xdr:rowOff>180975</xdr:rowOff>
        </xdr:from>
        <xdr:to>
          <xdr:col>2</xdr:col>
          <xdr:colOff>1552575</xdr:colOff>
          <xdr:row>10</xdr:row>
          <xdr:rowOff>466725</xdr:rowOff>
        </xdr:to>
        <xdr:sp macro="" textlink="">
          <xdr:nvSpPr>
            <xdr:cNvPr id="6195" name="Option Button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10</xdr:row>
          <xdr:rowOff>533400</xdr:rowOff>
        </xdr:from>
        <xdr:to>
          <xdr:col>2</xdr:col>
          <xdr:colOff>1581150</xdr:colOff>
          <xdr:row>10</xdr:row>
          <xdr:rowOff>866775</xdr:rowOff>
        </xdr:to>
        <xdr:sp macro="" textlink="">
          <xdr:nvSpPr>
            <xdr:cNvPr id="6196" name="Option Button 52"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57150</xdr:rowOff>
        </xdr:from>
        <xdr:to>
          <xdr:col>3</xdr:col>
          <xdr:colOff>0</xdr:colOff>
          <xdr:row>21</xdr:row>
          <xdr:rowOff>447675</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Station Typology: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114300</xdr:rowOff>
        </xdr:from>
        <xdr:to>
          <xdr:col>4</xdr:col>
          <xdr:colOff>0</xdr:colOff>
          <xdr:row>14</xdr:row>
          <xdr:rowOff>0</xdr:rowOff>
        </xdr:to>
        <xdr:sp macro="" textlink="">
          <xdr:nvSpPr>
            <xdr:cNvPr id="6183" name="Group Box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Primamary Use of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0</xdr:rowOff>
        </xdr:from>
        <xdr:to>
          <xdr:col>2</xdr:col>
          <xdr:colOff>1828800</xdr:colOff>
          <xdr:row>14</xdr:row>
          <xdr:rowOff>0</xdr:rowOff>
        </xdr:to>
        <xdr:sp macro="" textlink="">
          <xdr:nvSpPr>
            <xdr:cNvPr id="6191" name="Group Box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CBD or TOD?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1571625</xdr:colOff>
          <xdr:row>7</xdr:row>
          <xdr:rowOff>19050</xdr:rowOff>
        </xdr:from>
        <xdr:to>
          <xdr:col>2</xdr:col>
          <xdr:colOff>1876425</xdr:colOff>
          <xdr:row>7</xdr:row>
          <xdr:rowOff>533400</xdr:rowOff>
        </xdr:to>
        <xdr:sp macro="" textlink="">
          <xdr:nvSpPr>
            <xdr:cNvPr id="6192" name="Spinner 48"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32</xdr:row>
          <xdr:rowOff>47625</xdr:rowOff>
        </xdr:from>
        <xdr:to>
          <xdr:col>2</xdr:col>
          <xdr:colOff>1847850</xdr:colOff>
          <xdr:row>32</xdr:row>
          <xdr:rowOff>228600</xdr:rowOff>
        </xdr:to>
        <xdr:sp macro="" textlink="">
          <xdr:nvSpPr>
            <xdr:cNvPr id="6211" name="Scroll Bar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33</xdr:row>
          <xdr:rowOff>47625</xdr:rowOff>
        </xdr:from>
        <xdr:to>
          <xdr:col>2</xdr:col>
          <xdr:colOff>1847850</xdr:colOff>
          <xdr:row>33</xdr:row>
          <xdr:rowOff>228600</xdr:rowOff>
        </xdr:to>
        <xdr:sp macro="" textlink="">
          <xdr:nvSpPr>
            <xdr:cNvPr id="6212" name="Scroll Bar 68" hidden="1">
              <a:extLst>
                <a:ext uri="{63B3BB69-23CF-44E3-9099-C40C66FF867C}">
                  <a14:compatExt spid="_x0000_s6212"/>
                </a:ext>
                <a:ext uri="{FF2B5EF4-FFF2-40B4-BE49-F238E27FC236}">
                  <a16:creationId xmlns:a16="http://schemas.microsoft.com/office/drawing/2014/main" id="{00000000-0008-0000-0300-000044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34</xdr:row>
          <xdr:rowOff>47625</xdr:rowOff>
        </xdr:from>
        <xdr:to>
          <xdr:col>2</xdr:col>
          <xdr:colOff>1847850</xdr:colOff>
          <xdr:row>34</xdr:row>
          <xdr:rowOff>228600</xdr:rowOff>
        </xdr:to>
        <xdr:sp macro="" textlink="">
          <xdr:nvSpPr>
            <xdr:cNvPr id="6213" name="Scroll Bar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42</xdr:row>
          <xdr:rowOff>47625</xdr:rowOff>
        </xdr:from>
        <xdr:to>
          <xdr:col>2</xdr:col>
          <xdr:colOff>1847850</xdr:colOff>
          <xdr:row>42</xdr:row>
          <xdr:rowOff>228600</xdr:rowOff>
        </xdr:to>
        <xdr:sp macro="" textlink="">
          <xdr:nvSpPr>
            <xdr:cNvPr id="6218" name="Scroll Bar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36</xdr:row>
          <xdr:rowOff>47625</xdr:rowOff>
        </xdr:from>
        <xdr:to>
          <xdr:col>2</xdr:col>
          <xdr:colOff>1847850</xdr:colOff>
          <xdr:row>36</xdr:row>
          <xdr:rowOff>228600</xdr:rowOff>
        </xdr:to>
        <xdr:sp macro="" textlink="">
          <xdr:nvSpPr>
            <xdr:cNvPr id="6222" name="Scroll Bar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37</xdr:row>
          <xdr:rowOff>47625</xdr:rowOff>
        </xdr:from>
        <xdr:to>
          <xdr:col>2</xdr:col>
          <xdr:colOff>1847850</xdr:colOff>
          <xdr:row>37</xdr:row>
          <xdr:rowOff>228600</xdr:rowOff>
        </xdr:to>
        <xdr:sp macro="" textlink="">
          <xdr:nvSpPr>
            <xdr:cNvPr id="6223" name="Scroll Bar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38</xdr:row>
          <xdr:rowOff>47625</xdr:rowOff>
        </xdr:from>
        <xdr:to>
          <xdr:col>2</xdr:col>
          <xdr:colOff>1847850</xdr:colOff>
          <xdr:row>38</xdr:row>
          <xdr:rowOff>228600</xdr:rowOff>
        </xdr:to>
        <xdr:sp macro="" textlink="">
          <xdr:nvSpPr>
            <xdr:cNvPr id="6224" name="Scroll Bar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39</xdr:row>
          <xdr:rowOff>47625</xdr:rowOff>
        </xdr:from>
        <xdr:to>
          <xdr:col>2</xdr:col>
          <xdr:colOff>1847850</xdr:colOff>
          <xdr:row>39</xdr:row>
          <xdr:rowOff>228600</xdr:rowOff>
        </xdr:to>
        <xdr:sp macro="" textlink="">
          <xdr:nvSpPr>
            <xdr:cNvPr id="6225" name="Scroll Bar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40</xdr:row>
          <xdr:rowOff>47625</xdr:rowOff>
        </xdr:from>
        <xdr:to>
          <xdr:col>2</xdr:col>
          <xdr:colOff>1847850</xdr:colOff>
          <xdr:row>40</xdr:row>
          <xdr:rowOff>228600</xdr:rowOff>
        </xdr:to>
        <xdr:sp macro="" textlink="">
          <xdr:nvSpPr>
            <xdr:cNvPr id="6226" name="Scroll Bar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41</xdr:row>
          <xdr:rowOff>47625</xdr:rowOff>
        </xdr:from>
        <xdr:to>
          <xdr:col>2</xdr:col>
          <xdr:colOff>1847850</xdr:colOff>
          <xdr:row>41</xdr:row>
          <xdr:rowOff>228600</xdr:rowOff>
        </xdr:to>
        <xdr:sp macro="" textlink="">
          <xdr:nvSpPr>
            <xdr:cNvPr id="6227" name="Scroll Bar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43</xdr:row>
          <xdr:rowOff>47625</xdr:rowOff>
        </xdr:from>
        <xdr:to>
          <xdr:col>2</xdr:col>
          <xdr:colOff>1847850</xdr:colOff>
          <xdr:row>43</xdr:row>
          <xdr:rowOff>228600</xdr:rowOff>
        </xdr:to>
        <xdr:sp macro="" textlink="">
          <xdr:nvSpPr>
            <xdr:cNvPr id="6229" name="Scroll Bar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19</xdr:row>
          <xdr:rowOff>19050</xdr:rowOff>
        </xdr:from>
        <xdr:to>
          <xdr:col>4</xdr:col>
          <xdr:colOff>9525</xdr:colOff>
          <xdr:row>19</xdr:row>
          <xdr:rowOff>419100</xdr:rowOff>
        </xdr:to>
        <xdr:sp macro="" textlink="">
          <xdr:nvSpPr>
            <xdr:cNvPr id="6233" name="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Load All Default Values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87</xdr:row>
          <xdr:rowOff>47625</xdr:rowOff>
        </xdr:from>
        <xdr:to>
          <xdr:col>2</xdr:col>
          <xdr:colOff>1847850</xdr:colOff>
          <xdr:row>87</xdr:row>
          <xdr:rowOff>228600</xdr:rowOff>
        </xdr:to>
        <xdr:sp macro="" textlink="">
          <xdr:nvSpPr>
            <xdr:cNvPr id="6241" name="Scroll Bar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90</xdr:row>
          <xdr:rowOff>47625</xdr:rowOff>
        </xdr:from>
        <xdr:to>
          <xdr:col>2</xdr:col>
          <xdr:colOff>1847850</xdr:colOff>
          <xdr:row>90</xdr:row>
          <xdr:rowOff>228600</xdr:rowOff>
        </xdr:to>
        <xdr:sp macro="" textlink="">
          <xdr:nvSpPr>
            <xdr:cNvPr id="6244" name="Scroll Bar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91</xdr:row>
          <xdr:rowOff>47625</xdr:rowOff>
        </xdr:from>
        <xdr:to>
          <xdr:col>2</xdr:col>
          <xdr:colOff>1847850</xdr:colOff>
          <xdr:row>91</xdr:row>
          <xdr:rowOff>228600</xdr:rowOff>
        </xdr:to>
        <xdr:sp macro="" textlink="">
          <xdr:nvSpPr>
            <xdr:cNvPr id="6245" name="Scroll Bar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86</xdr:row>
          <xdr:rowOff>47625</xdr:rowOff>
        </xdr:from>
        <xdr:to>
          <xdr:col>2</xdr:col>
          <xdr:colOff>1847850</xdr:colOff>
          <xdr:row>86</xdr:row>
          <xdr:rowOff>228600</xdr:rowOff>
        </xdr:to>
        <xdr:sp macro="" textlink="">
          <xdr:nvSpPr>
            <xdr:cNvPr id="6252" name="Scroll Bar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88</xdr:row>
          <xdr:rowOff>47625</xdr:rowOff>
        </xdr:from>
        <xdr:to>
          <xdr:col>2</xdr:col>
          <xdr:colOff>1847850</xdr:colOff>
          <xdr:row>88</xdr:row>
          <xdr:rowOff>228600</xdr:rowOff>
        </xdr:to>
        <xdr:sp macro="" textlink="">
          <xdr:nvSpPr>
            <xdr:cNvPr id="6254" name="Scroll Bar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89</xdr:row>
          <xdr:rowOff>47625</xdr:rowOff>
        </xdr:from>
        <xdr:to>
          <xdr:col>2</xdr:col>
          <xdr:colOff>1847850</xdr:colOff>
          <xdr:row>89</xdr:row>
          <xdr:rowOff>228600</xdr:rowOff>
        </xdr:to>
        <xdr:sp macro="" textlink="">
          <xdr:nvSpPr>
            <xdr:cNvPr id="6255" name="Scroll Bar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1571625</xdr:colOff>
          <xdr:row>22</xdr:row>
          <xdr:rowOff>9525</xdr:rowOff>
        </xdr:from>
        <xdr:to>
          <xdr:col>2</xdr:col>
          <xdr:colOff>1876425</xdr:colOff>
          <xdr:row>23</xdr:row>
          <xdr:rowOff>0</xdr:rowOff>
        </xdr:to>
        <xdr:sp macro="" textlink="">
          <xdr:nvSpPr>
            <xdr:cNvPr id="6261" name="Spinner 117" hidden="1">
              <a:extLst>
                <a:ext uri="{63B3BB69-23CF-44E3-9099-C40C66FF867C}">
                  <a14:compatExt spid="_x0000_s6261"/>
                </a:ext>
                <a:ext uri="{FF2B5EF4-FFF2-40B4-BE49-F238E27FC236}">
                  <a16:creationId xmlns:a16="http://schemas.microsoft.com/office/drawing/2014/main" id="{00000000-0008-0000-0300-000075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1571625</xdr:colOff>
          <xdr:row>24</xdr:row>
          <xdr:rowOff>9525</xdr:rowOff>
        </xdr:from>
        <xdr:to>
          <xdr:col>2</xdr:col>
          <xdr:colOff>1876425</xdr:colOff>
          <xdr:row>25</xdr:row>
          <xdr:rowOff>0</xdr:rowOff>
        </xdr:to>
        <xdr:sp macro="" textlink="">
          <xdr:nvSpPr>
            <xdr:cNvPr id="6262" name="Spinner 118" hidden="1">
              <a:extLst>
                <a:ext uri="{63B3BB69-23CF-44E3-9099-C40C66FF867C}">
                  <a14:compatExt spid="_x0000_s6262"/>
                </a:ext>
                <a:ext uri="{FF2B5EF4-FFF2-40B4-BE49-F238E27FC236}">
                  <a16:creationId xmlns:a16="http://schemas.microsoft.com/office/drawing/2014/main" id="{00000000-0008-0000-0300-000076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77</xdr:row>
          <xdr:rowOff>47625</xdr:rowOff>
        </xdr:from>
        <xdr:to>
          <xdr:col>2</xdr:col>
          <xdr:colOff>1847850</xdr:colOff>
          <xdr:row>77</xdr:row>
          <xdr:rowOff>228600</xdr:rowOff>
        </xdr:to>
        <xdr:sp macro="" textlink="">
          <xdr:nvSpPr>
            <xdr:cNvPr id="6276" name="Scroll Bar 132" hidden="1">
              <a:extLst>
                <a:ext uri="{63B3BB69-23CF-44E3-9099-C40C66FF867C}">
                  <a14:compatExt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78</xdr:row>
          <xdr:rowOff>47625</xdr:rowOff>
        </xdr:from>
        <xdr:to>
          <xdr:col>2</xdr:col>
          <xdr:colOff>1847850</xdr:colOff>
          <xdr:row>78</xdr:row>
          <xdr:rowOff>228600</xdr:rowOff>
        </xdr:to>
        <xdr:sp macro="" textlink="">
          <xdr:nvSpPr>
            <xdr:cNvPr id="6277" name="Scroll Bar 133" hidden="1">
              <a:extLst>
                <a:ext uri="{63B3BB69-23CF-44E3-9099-C40C66FF867C}">
                  <a14:compatExt spid="_x0000_s6277"/>
                </a:ext>
                <a:ext uri="{FF2B5EF4-FFF2-40B4-BE49-F238E27FC236}">
                  <a16:creationId xmlns:a16="http://schemas.microsoft.com/office/drawing/2014/main" id="{00000000-0008-0000-0300-000085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79</xdr:row>
          <xdr:rowOff>47625</xdr:rowOff>
        </xdr:from>
        <xdr:to>
          <xdr:col>2</xdr:col>
          <xdr:colOff>1847850</xdr:colOff>
          <xdr:row>79</xdr:row>
          <xdr:rowOff>228600</xdr:rowOff>
        </xdr:to>
        <xdr:sp macro="" textlink="">
          <xdr:nvSpPr>
            <xdr:cNvPr id="6278" name="Scroll Bar 134" hidden="1">
              <a:extLst>
                <a:ext uri="{63B3BB69-23CF-44E3-9099-C40C66FF867C}">
                  <a14:compatExt spid="_x0000_s6278"/>
                </a:ext>
                <a:ext uri="{FF2B5EF4-FFF2-40B4-BE49-F238E27FC236}">
                  <a16:creationId xmlns:a16="http://schemas.microsoft.com/office/drawing/2014/main" id="{00000000-0008-0000-0300-000086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80</xdr:row>
          <xdr:rowOff>47625</xdr:rowOff>
        </xdr:from>
        <xdr:to>
          <xdr:col>2</xdr:col>
          <xdr:colOff>1847850</xdr:colOff>
          <xdr:row>80</xdr:row>
          <xdr:rowOff>228600</xdr:rowOff>
        </xdr:to>
        <xdr:sp macro="" textlink="">
          <xdr:nvSpPr>
            <xdr:cNvPr id="6279" name="Scroll Bar 135" hidden="1">
              <a:extLst>
                <a:ext uri="{63B3BB69-23CF-44E3-9099-C40C66FF867C}">
                  <a14:compatExt spid="_x0000_s6279"/>
                </a:ext>
                <a:ext uri="{FF2B5EF4-FFF2-40B4-BE49-F238E27FC236}">
                  <a16:creationId xmlns:a16="http://schemas.microsoft.com/office/drawing/2014/main" id="{00000000-0008-0000-0300-000087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82</xdr:row>
          <xdr:rowOff>47625</xdr:rowOff>
        </xdr:from>
        <xdr:to>
          <xdr:col>2</xdr:col>
          <xdr:colOff>1847850</xdr:colOff>
          <xdr:row>82</xdr:row>
          <xdr:rowOff>228600</xdr:rowOff>
        </xdr:to>
        <xdr:sp macro="" textlink="">
          <xdr:nvSpPr>
            <xdr:cNvPr id="6280" name="Scroll Bar 136" hidden="1">
              <a:extLst>
                <a:ext uri="{63B3BB69-23CF-44E3-9099-C40C66FF867C}">
                  <a14:compatExt spid="_x0000_s6280"/>
                </a:ext>
                <a:ext uri="{FF2B5EF4-FFF2-40B4-BE49-F238E27FC236}">
                  <a16:creationId xmlns:a16="http://schemas.microsoft.com/office/drawing/2014/main" id="{00000000-0008-0000-0300-000088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83</xdr:row>
          <xdr:rowOff>47625</xdr:rowOff>
        </xdr:from>
        <xdr:to>
          <xdr:col>2</xdr:col>
          <xdr:colOff>1847850</xdr:colOff>
          <xdr:row>83</xdr:row>
          <xdr:rowOff>228600</xdr:rowOff>
        </xdr:to>
        <xdr:sp macro="" textlink="">
          <xdr:nvSpPr>
            <xdr:cNvPr id="6281" name="Scroll Bar 137" hidden="1">
              <a:extLst>
                <a:ext uri="{63B3BB69-23CF-44E3-9099-C40C66FF867C}">
                  <a14:compatExt spid="_x0000_s6281"/>
                </a:ext>
                <a:ext uri="{FF2B5EF4-FFF2-40B4-BE49-F238E27FC236}">
                  <a16:creationId xmlns:a16="http://schemas.microsoft.com/office/drawing/2014/main" id="{00000000-0008-0000-0300-000089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84</xdr:row>
          <xdr:rowOff>47625</xdr:rowOff>
        </xdr:from>
        <xdr:to>
          <xdr:col>2</xdr:col>
          <xdr:colOff>1847850</xdr:colOff>
          <xdr:row>84</xdr:row>
          <xdr:rowOff>228600</xdr:rowOff>
        </xdr:to>
        <xdr:sp macro="" textlink="">
          <xdr:nvSpPr>
            <xdr:cNvPr id="6282" name="Scroll Bar 138" hidden="1">
              <a:extLst>
                <a:ext uri="{63B3BB69-23CF-44E3-9099-C40C66FF867C}">
                  <a14:compatExt spid="_x0000_s6282"/>
                </a:ext>
                <a:ext uri="{FF2B5EF4-FFF2-40B4-BE49-F238E27FC236}">
                  <a16:creationId xmlns:a16="http://schemas.microsoft.com/office/drawing/2014/main" id="{00000000-0008-0000-0300-00008A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85</xdr:row>
          <xdr:rowOff>47625</xdr:rowOff>
        </xdr:from>
        <xdr:to>
          <xdr:col>2</xdr:col>
          <xdr:colOff>1847850</xdr:colOff>
          <xdr:row>85</xdr:row>
          <xdr:rowOff>228600</xdr:rowOff>
        </xdr:to>
        <xdr:sp macro="" textlink="">
          <xdr:nvSpPr>
            <xdr:cNvPr id="6283" name="Scroll Bar 139" hidden="1">
              <a:extLst>
                <a:ext uri="{63B3BB69-23CF-44E3-9099-C40C66FF867C}">
                  <a14:compatExt spid="_x0000_s6283"/>
                </a:ext>
                <a:ext uri="{FF2B5EF4-FFF2-40B4-BE49-F238E27FC236}">
                  <a16:creationId xmlns:a16="http://schemas.microsoft.com/office/drawing/2014/main" id="{00000000-0008-0000-0300-00008B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1571625</xdr:colOff>
          <xdr:row>22</xdr:row>
          <xdr:rowOff>9525</xdr:rowOff>
        </xdr:from>
        <xdr:to>
          <xdr:col>11</xdr:col>
          <xdr:colOff>1876425</xdr:colOff>
          <xdr:row>23</xdr:row>
          <xdr:rowOff>0</xdr:rowOff>
        </xdr:to>
        <xdr:sp macro="" textlink="">
          <xdr:nvSpPr>
            <xdr:cNvPr id="6284" name="Spinner 140" hidden="1">
              <a:extLst>
                <a:ext uri="{63B3BB69-23CF-44E3-9099-C40C66FF867C}">
                  <a14:compatExt spid="_x0000_s6284"/>
                </a:ext>
                <a:ext uri="{FF2B5EF4-FFF2-40B4-BE49-F238E27FC236}">
                  <a16:creationId xmlns:a16="http://schemas.microsoft.com/office/drawing/2014/main" id="{00000000-0008-0000-0300-00008C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1571625</xdr:colOff>
          <xdr:row>24</xdr:row>
          <xdr:rowOff>9525</xdr:rowOff>
        </xdr:from>
        <xdr:to>
          <xdr:col>11</xdr:col>
          <xdr:colOff>1876425</xdr:colOff>
          <xdr:row>25</xdr:row>
          <xdr:rowOff>0</xdr:rowOff>
        </xdr:to>
        <xdr:sp macro="" textlink="">
          <xdr:nvSpPr>
            <xdr:cNvPr id="6285" name="Spinner 141" hidden="1">
              <a:extLst>
                <a:ext uri="{63B3BB69-23CF-44E3-9099-C40C66FF867C}">
                  <a14:compatExt spid="_x0000_s6285"/>
                </a:ext>
                <a:ext uri="{FF2B5EF4-FFF2-40B4-BE49-F238E27FC236}">
                  <a16:creationId xmlns:a16="http://schemas.microsoft.com/office/drawing/2014/main" id="{00000000-0008-0000-0300-00008D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22</xdr:row>
          <xdr:rowOff>57150</xdr:rowOff>
        </xdr:from>
        <xdr:to>
          <xdr:col>3</xdr:col>
          <xdr:colOff>838200</xdr:colOff>
          <xdr:row>22</xdr:row>
          <xdr:rowOff>704850</xdr:rowOff>
        </xdr:to>
        <xdr:sp macro="" textlink="">
          <xdr:nvSpPr>
            <xdr:cNvPr id="6286" name="Button 142" hidden="1">
              <a:extLst>
                <a:ext uri="{63B3BB69-23CF-44E3-9099-C40C66FF867C}">
                  <a14:compatExt spid="_x0000_s6286"/>
                </a:ext>
                <a:ext uri="{FF2B5EF4-FFF2-40B4-BE49-F238E27FC236}">
                  <a16:creationId xmlns:a16="http://schemas.microsoft.com/office/drawing/2014/main" id="{00000000-0008-0000-0300-00008E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Arial"/>
                  <a:cs typeface="Arial"/>
                </a:rPr>
                <a:t>Reload Default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23</xdr:row>
          <xdr:rowOff>57150</xdr:rowOff>
        </xdr:from>
        <xdr:to>
          <xdr:col>3</xdr:col>
          <xdr:colOff>838200</xdr:colOff>
          <xdr:row>23</xdr:row>
          <xdr:rowOff>704850</xdr:rowOff>
        </xdr:to>
        <xdr:sp macro="" textlink="">
          <xdr:nvSpPr>
            <xdr:cNvPr id="6287" name="Button 143" hidden="1">
              <a:extLst>
                <a:ext uri="{63B3BB69-23CF-44E3-9099-C40C66FF867C}">
                  <a14:compatExt spid="_x0000_s6287"/>
                </a:ext>
                <a:ext uri="{FF2B5EF4-FFF2-40B4-BE49-F238E27FC236}">
                  <a16:creationId xmlns:a16="http://schemas.microsoft.com/office/drawing/2014/main" id="{00000000-0008-0000-0300-00008F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Arial"/>
                  <a:cs typeface="Arial"/>
                </a:rPr>
                <a:t>Reload Default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32</xdr:row>
          <xdr:rowOff>19050</xdr:rowOff>
        </xdr:from>
        <xdr:to>
          <xdr:col>5</xdr:col>
          <xdr:colOff>609600</xdr:colOff>
          <xdr:row>32</xdr:row>
          <xdr:rowOff>247650</xdr:rowOff>
        </xdr:to>
        <xdr:sp macro="" textlink="">
          <xdr:nvSpPr>
            <xdr:cNvPr id="6288" name="Button 144" hidden="1">
              <a:extLst>
                <a:ext uri="{63B3BB69-23CF-44E3-9099-C40C66FF867C}">
                  <a14:compatExt spid="_x0000_s6288"/>
                </a:ext>
                <a:ext uri="{FF2B5EF4-FFF2-40B4-BE49-F238E27FC236}">
                  <a16:creationId xmlns:a16="http://schemas.microsoft.com/office/drawing/2014/main" id="{00000000-0008-0000-0300-000090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Arial"/>
                  <a:cs typeface="Arial"/>
                </a:rPr>
                <a:t>Reload Default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33</xdr:row>
          <xdr:rowOff>19050</xdr:rowOff>
        </xdr:from>
        <xdr:to>
          <xdr:col>5</xdr:col>
          <xdr:colOff>619125</xdr:colOff>
          <xdr:row>33</xdr:row>
          <xdr:rowOff>247650</xdr:rowOff>
        </xdr:to>
        <xdr:sp macro="" textlink="">
          <xdr:nvSpPr>
            <xdr:cNvPr id="6291" name="Button 147" hidden="1">
              <a:extLst>
                <a:ext uri="{63B3BB69-23CF-44E3-9099-C40C66FF867C}">
                  <a14:compatExt spid="_x0000_s6291"/>
                </a:ext>
                <a:ext uri="{FF2B5EF4-FFF2-40B4-BE49-F238E27FC236}">
                  <a16:creationId xmlns:a16="http://schemas.microsoft.com/office/drawing/2014/main" id="{00000000-0008-0000-0300-000093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Arial"/>
                  <a:cs typeface="Arial"/>
                </a:rPr>
                <a:t>Reload Default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36</xdr:row>
          <xdr:rowOff>19050</xdr:rowOff>
        </xdr:from>
        <xdr:to>
          <xdr:col>5</xdr:col>
          <xdr:colOff>609600</xdr:colOff>
          <xdr:row>36</xdr:row>
          <xdr:rowOff>247650</xdr:rowOff>
        </xdr:to>
        <xdr:sp macro="" textlink="">
          <xdr:nvSpPr>
            <xdr:cNvPr id="6293" name="Button 149" hidden="1">
              <a:extLst>
                <a:ext uri="{63B3BB69-23CF-44E3-9099-C40C66FF867C}">
                  <a14:compatExt spid="_x0000_s6293"/>
                </a:ext>
                <a:ext uri="{FF2B5EF4-FFF2-40B4-BE49-F238E27FC236}">
                  <a16:creationId xmlns:a16="http://schemas.microsoft.com/office/drawing/2014/main" id="{00000000-0008-0000-0300-000095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Arial"/>
                  <a:cs typeface="Arial"/>
                </a:rPr>
                <a:t>Reload Default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37</xdr:row>
          <xdr:rowOff>19050</xdr:rowOff>
        </xdr:from>
        <xdr:to>
          <xdr:col>5</xdr:col>
          <xdr:colOff>609600</xdr:colOff>
          <xdr:row>37</xdr:row>
          <xdr:rowOff>247650</xdr:rowOff>
        </xdr:to>
        <xdr:sp macro="" textlink="">
          <xdr:nvSpPr>
            <xdr:cNvPr id="6294" name="Button 150" hidden="1">
              <a:extLst>
                <a:ext uri="{63B3BB69-23CF-44E3-9099-C40C66FF867C}">
                  <a14:compatExt spid="_x0000_s6294"/>
                </a:ext>
                <a:ext uri="{FF2B5EF4-FFF2-40B4-BE49-F238E27FC236}">
                  <a16:creationId xmlns:a16="http://schemas.microsoft.com/office/drawing/2014/main" id="{00000000-0008-0000-0300-000096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Arial"/>
                  <a:cs typeface="Arial"/>
                </a:rPr>
                <a:t>Reload Default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38</xdr:row>
          <xdr:rowOff>19050</xdr:rowOff>
        </xdr:from>
        <xdr:to>
          <xdr:col>5</xdr:col>
          <xdr:colOff>609600</xdr:colOff>
          <xdr:row>38</xdr:row>
          <xdr:rowOff>247650</xdr:rowOff>
        </xdr:to>
        <xdr:sp macro="" textlink="">
          <xdr:nvSpPr>
            <xdr:cNvPr id="6295" name="Button 151" hidden="1">
              <a:extLst>
                <a:ext uri="{63B3BB69-23CF-44E3-9099-C40C66FF867C}">
                  <a14:compatExt spid="_x0000_s6295"/>
                </a:ext>
                <a:ext uri="{FF2B5EF4-FFF2-40B4-BE49-F238E27FC236}">
                  <a16:creationId xmlns:a16="http://schemas.microsoft.com/office/drawing/2014/main" id="{00000000-0008-0000-0300-000097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Arial"/>
                  <a:cs typeface="Arial"/>
                </a:rPr>
                <a:t>Reload Default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39</xdr:row>
          <xdr:rowOff>19050</xdr:rowOff>
        </xdr:from>
        <xdr:to>
          <xdr:col>5</xdr:col>
          <xdr:colOff>609600</xdr:colOff>
          <xdr:row>39</xdr:row>
          <xdr:rowOff>247650</xdr:rowOff>
        </xdr:to>
        <xdr:sp macro="" textlink="">
          <xdr:nvSpPr>
            <xdr:cNvPr id="6296" name="Button 152" hidden="1">
              <a:extLst>
                <a:ext uri="{63B3BB69-23CF-44E3-9099-C40C66FF867C}">
                  <a14:compatExt spid="_x0000_s6296"/>
                </a:ext>
                <a:ext uri="{FF2B5EF4-FFF2-40B4-BE49-F238E27FC236}">
                  <a16:creationId xmlns:a16="http://schemas.microsoft.com/office/drawing/2014/main" id="{00000000-0008-0000-0300-000098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Arial"/>
                  <a:cs typeface="Arial"/>
                </a:rPr>
                <a:t>Reload Default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40</xdr:row>
          <xdr:rowOff>19050</xdr:rowOff>
        </xdr:from>
        <xdr:to>
          <xdr:col>5</xdr:col>
          <xdr:colOff>609600</xdr:colOff>
          <xdr:row>40</xdr:row>
          <xdr:rowOff>247650</xdr:rowOff>
        </xdr:to>
        <xdr:sp macro="" textlink="">
          <xdr:nvSpPr>
            <xdr:cNvPr id="6297" name="Button 153" hidden="1">
              <a:extLst>
                <a:ext uri="{63B3BB69-23CF-44E3-9099-C40C66FF867C}">
                  <a14:compatExt spid="_x0000_s6297"/>
                </a:ext>
                <a:ext uri="{FF2B5EF4-FFF2-40B4-BE49-F238E27FC236}">
                  <a16:creationId xmlns:a16="http://schemas.microsoft.com/office/drawing/2014/main" id="{00000000-0008-0000-0300-000099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Arial"/>
                  <a:cs typeface="Arial"/>
                </a:rPr>
                <a:t>Reload Default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41</xdr:row>
          <xdr:rowOff>19050</xdr:rowOff>
        </xdr:from>
        <xdr:to>
          <xdr:col>5</xdr:col>
          <xdr:colOff>609600</xdr:colOff>
          <xdr:row>41</xdr:row>
          <xdr:rowOff>247650</xdr:rowOff>
        </xdr:to>
        <xdr:sp macro="" textlink="">
          <xdr:nvSpPr>
            <xdr:cNvPr id="6298" name="Button 154" hidden="1">
              <a:extLst>
                <a:ext uri="{63B3BB69-23CF-44E3-9099-C40C66FF867C}">
                  <a14:compatExt spid="_x0000_s6298"/>
                </a:ext>
                <a:ext uri="{FF2B5EF4-FFF2-40B4-BE49-F238E27FC236}">
                  <a16:creationId xmlns:a16="http://schemas.microsoft.com/office/drawing/2014/main" id="{00000000-0008-0000-0300-00009A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Arial"/>
                  <a:cs typeface="Arial"/>
                </a:rPr>
                <a:t>Reload Default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42</xdr:row>
          <xdr:rowOff>19050</xdr:rowOff>
        </xdr:from>
        <xdr:to>
          <xdr:col>5</xdr:col>
          <xdr:colOff>609600</xdr:colOff>
          <xdr:row>42</xdr:row>
          <xdr:rowOff>247650</xdr:rowOff>
        </xdr:to>
        <xdr:sp macro="" textlink="">
          <xdr:nvSpPr>
            <xdr:cNvPr id="6299" name="Button 155" hidden="1">
              <a:extLst>
                <a:ext uri="{63B3BB69-23CF-44E3-9099-C40C66FF867C}">
                  <a14:compatExt spid="_x0000_s6299"/>
                </a:ext>
                <a:ext uri="{FF2B5EF4-FFF2-40B4-BE49-F238E27FC236}">
                  <a16:creationId xmlns:a16="http://schemas.microsoft.com/office/drawing/2014/main" id="{00000000-0008-0000-0300-00009B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Arial"/>
                  <a:cs typeface="Arial"/>
                </a:rPr>
                <a:t>Reload Default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43</xdr:row>
          <xdr:rowOff>19050</xdr:rowOff>
        </xdr:from>
        <xdr:to>
          <xdr:col>5</xdr:col>
          <xdr:colOff>609600</xdr:colOff>
          <xdr:row>43</xdr:row>
          <xdr:rowOff>247650</xdr:rowOff>
        </xdr:to>
        <xdr:sp macro="" textlink="">
          <xdr:nvSpPr>
            <xdr:cNvPr id="6300" name="Button 156" hidden="1">
              <a:extLst>
                <a:ext uri="{63B3BB69-23CF-44E3-9099-C40C66FF867C}">
                  <a14:compatExt spid="_x0000_s6300"/>
                </a:ext>
                <a:ext uri="{FF2B5EF4-FFF2-40B4-BE49-F238E27FC236}">
                  <a16:creationId xmlns:a16="http://schemas.microsoft.com/office/drawing/2014/main" id="{00000000-0008-0000-0300-00009C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Arial"/>
                  <a:cs typeface="Arial"/>
                </a:rPr>
                <a:t>Reload Default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34</xdr:row>
          <xdr:rowOff>19050</xdr:rowOff>
        </xdr:from>
        <xdr:to>
          <xdr:col>5</xdr:col>
          <xdr:colOff>609600</xdr:colOff>
          <xdr:row>34</xdr:row>
          <xdr:rowOff>247650</xdr:rowOff>
        </xdr:to>
        <xdr:sp macro="" textlink="">
          <xdr:nvSpPr>
            <xdr:cNvPr id="6301" name="Button 157" hidden="1">
              <a:extLst>
                <a:ext uri="{63B3BB69-23CF-44E3-9099-C40C66FF867C}">
                  <a14:compatExt spid="_x0000_s6301"/>
                </a:ext>
                <a:ext uri="{FF2B5EF4-FFF2-40B4-BE49-F238E27FC236}">
                  <a16:creationId xmlns:a16="http://schemas.microsoft.com/office/drawing/2014/main" id="{00000000-0008-0000-0300-00009D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Arial"/>
                  <a:cs typeface="Arial"/>
                </a:rPr>
                <a:t>Reload Default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24</xdr:row>
          <xdr:rowOff>47625</xdr:rowOff>
        </xdr:from>
        <xdr:to>
          <xdr:col>3</xdr:col>
          <xdr:colOff>866775</xdr:colOff>
          <xdr:row>24</xdr:row>
          <xdr:rowOff>695325</xdr:rowOff>
        </xdr:to>
        <xdr:sp macro="" textlink="">
          <xdr:nvSpPr>
            <xdr:cNvPr id="6302" name="Button 158" hidden="1">
              <a:extLst>
                <a:ext uri="{63B3BB69-23CF-44E3-9099-C40C66FF867C}">
                  <a14:compatExt spid="_x0000_s6302"/>
                </a:ext>
                <a:ext uri="{FF2B5EF4-FFF2-40B4-BE49-F238E27FC236}">
                  <a16:creationId xmlns:a16="http://schemas.microsoft.com/office/drawing/2014/main" id="{00000000-0008-0000-0300-00009E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Arial"/>
                  <a:cs typeface="Arial"/>
                </a:rPr>
                <a:t>Reload Default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3</xdr:col>
          <xdr:colOff>66675</xdr:colOff>
          <xdr:row>25</xdr:row>
          <xdr:rowOff>47625</xdr:rowOff>
        </xdr:from>
        <xdr:to>
          <xdr:col>3</xdr:col>
          <xdr:colOff>866775</xdr:colOff>
          <xdr:row>25</xdr:row>
          <xdr:rowOff>695325</xdr:rowOff>
        </xdr:to>
        <xdr:sp macro="" textlink="">
          <xdr:nvSpPr>
            <xdr:cNvPr id="6303" name="Button 159" hidden="1">
              <a:extLst>
                <a:ext uri="{63B3BB69-23CF-44E3-9099-C40C66FF867C}">
                  <a14:compatExt spid="_x0000_s6303"/>
                </a:ext>
                <a:ext uri="{FF2B5EF4-FFF2-40B4-BE49-F238E27FC236}">
                  <a16:creationId xmlns:a16="http://schemas.microsoft.com/office/drawing/2014/main" id="{00000000-0008-0000-0300-00009F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Arial"/>
                  <a:cs typeface="Arial"/>
                </a:rPr>
                <a:t>Reload Default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16</xdr:row>
          <xdr:rowOff>209550</xdr:rowOff>
        </xdr:from>
        <xdr:to>
          <xdr:col>1</xdr:col>
          <xdr:colOff>1504950</xdr:colOff>
          <xdr:row>18</xdr:row>
          <xdr:rowOff>219075</xdr:rowOff>
        </xdr:to>
        <xdr:sp macro="" textlink="">
          <xdr:nvSpPr>
            <xdr:cNvPr id="6305" name="Option Button 161" hidden="1">
              <a:extLst>
                <a:ext uri="{63B3BB69-23CF-44E3-9099-C40C66FF867C}">
                  <a14:compatExt spid="_x0000_s6305"/>
                </a:ext>
                <a:ext uri="{FF2B5EF4-FFF2-40B4-BE49-F238E27FC236}">
                  <a16:creationId xmlns:a16="http://schemas.microsoft.com/office/drawing/2014/main" id="{00000000-0008-0000-03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16</xdr:row>
          <xdr:rowOff>209550</xdr:rowOff>
        </xdr:from>
        <xdr:to>
          <xdr:col>1</xdr:col>
          <xdr:colOff>2295525</xdr:colOff>
          <xdr:row>18</xdr:row>
          <xdr:rowOff>219075</xdr:rowOff>
        </xdr:to>
        <xdr:sp macro="" textlink="">
          <xdr:nvSpPr>
            <xdr:cNvPr id="6306" name="Option Button 162" hidden="1">
              <a:extLst>
                <a:ext uri="{63B3BB69-23CF-44E3-9099-C40C66FF867C}">
                  <a14:compatExt spid="_x0000_s6306"/>
                </a:ext>
                <a:ext uri="{FF2B5EF4-FFF2-40B4-BE49-F238E27FC236}">
                  <a16:creationId xmlns:a16="http://schemas.microsoft.com/office/drawing/2014/main" id="{00000000-0008-0000-03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2809875</xdr:colOff>
          <xdr:row>16</xdr:row>
          <xdr:rowOff>209550</xdr:rowOff>
        </xdr:from>
        <xdr:to>
          <xdr:col>1</xdr:col>
          <xdr:colOff>3114675</xdr:colOff>
          <xdr:row>18</xdr:row>
          <xdr:rowOff>219075</xdr:rowOff>
        </xdr:to>
        <xdr:sp macro="" textlink="">
          <xdr:nvSpPr>
            <xdr:cNvPr id="6307" name="Option Button 163" hidden="1">
              <a:extLst>
                <a:ext uri="{63B3BB69-23CF-44E3-9099-C40C66FF867C}">
                  <a14:compatExt spid="_x0000_s6307"/>
                </a:ext>
                <a:ext uri="{FF2B5EF4-FFF2-40B4-BE49-F238E27FC236}">
                  <a16:creationId xmlns:a16="http://schemas.microsoft.com/office/drawing/2014/main" id="{00000000-0008-0000-03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16</xdr:row>
          <xdr:rowOff>209550</xdr:rowOff>
        </xdr:from>
        <xdr:to>
          <xdr:col>2</xdr:col>
          <xdr:colOff>752475</xdr:colOff>
          <xdr:row>18</xdr:row>
          <xdr:rowOff>219075</xdr:rowOff>
        </xdr:to>
        <xdr:sp macro="" textlink="">
          <xdr:nvSpPr>
            <xdr:cNvPr id="6308" name="Option Button 164" hidden="1">
              <a:extLst>
                <a:ext uri="{63B3BB69-23CF-44E3-9099-C40C66FF867C}">
                  <a14:compatExt spid="_x0000_s6308"/>
                </a:ext>
                <a:ext uri="{FF2B5EF4-FFF2-40B4-BE49-F238E27FC236}">
                  <a16:creationId xmlns:a16="http://schemas.microsoft.com/office/drawing/2014/main" id="{00000000-0008-0000-03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1314450</xdr:colOff>
          <xdr:row>16</xdr:row>
          <xdr:rowOff>228600</xdr:rowOff>
        </xdr:from>
        <xdr:to>
          <xdr:col>2</xdr:col>
          <xdr:colOff>1638300</xdr:colOff>
          <xdr:row>18</xdr:row>
          <xdr:rowOff>219075</xdr:rowOff>
        </xdr:to>
        <xdr:sp macro="" textlink="">
          <xdr:nvSpPr>
            <xdr:cNvPr id="6309" name="Option Button 165" hidden="1">
              <a:extLst>
                <a:ext uri="{63B3BB69-23CF-44E3-9099-C40C66FF867C}">
                  <a14:compatExt spid="_x0000_s6309"/>
                </a:ext>
                <a:ext uri="{FF2B5EF4-FFF2-40B4-BE49-F238E27FC236}">
                  <a16:creationId xmlns:a16="http://schemas.microsoft.com/office/drawing/2014/main" id="{00000000-0008-0000-03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62</xdr:row>
          <xdr:rowOff>19050</xdr:rowOff>
        </xdr:from>
        <xdr:to>
          <xdr:col>9</xdr:col>
          <xdr:colOff>0</xdr:colOff>
          <xdr:row>63</xdr:row>
          <xdr:rowOff>647700</xdr:rowOff>
        </xdr:to>
        <xdr:sp macro="" textlink="">
          <xdr:nvSpPr>
            <xdr:cNvPr id="6314" name="Button 170" hidden="1">
              <a:extLst>
                <a:ext uri="{63B3BB69-23CF-44E3-9099-C40C66FF867C}">
                  <a14:compatExt spid="_x0000_s6314"/>
                </a:ext>
                <a:ext uri="{FF2B5EF4-FFF2-40B4-BE49-F238E27FC236}">
                  <a16:creationId xmlns:a16="http://schemas.microsoft.com/office/drawing/2014/main" id="{00000000-0008-0000-0300-0000AA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Reload Default Values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3</xdr:col>
          <xdr:colOff>2962275</xdr:colOff>
          <xdr:row>62</xdr:row>
          <xdr:rowOff>38100</xdr:rowOff>
        </xdr:from>
        <xdr:to>
          <xdr:col>3</xdr:col>
          <xdr:colOff>3267075</xdr:colOff>
          <xdr:row>62</xdr:row>
          <xdr:rowOff>704850</xdr:rowOff>
        </xdr:to>
        <xdr:sp macro="" textlink="">
          <xdr:nvSpPr>
            <xdr:cNvPr id="6315" name="Spinner 171" hidden="1">
              <a:extLst>
                <a:ext uri="{63B3BB69-23CF-44E3-9099-C40C66FF867C}">
                  <a14:compatExt spid="_x0000_s6315"/>
                </a:ext>
                <a:ext uri="{FF2B5EF4-FFF2-40B4-BE49-F238E27FC236}">
                  <a16:creationId xmlns:a16="http://schemas.microsoft.com/office/drawing/2014/main" id="{00000000-0008-0000-0300-0000AB18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107156</xdr:colOff>
      <xdr:row>121</xdr:row>
      <xdr:rowOff>83344</xdr:rowOff>
    </xdr:from>
    <xdr:to>
      <xdr:col>18</xdr:col>
      <xdr:colOff>404812</xdr:colOff>
      <xdr:row>143</xdr:row>
      <xdr:rowOff>23812</xdr:rowOff>
    </xdr:to>
    <xdr:sp macro="" textlink="">
      <xdr:nvSpPr>
        <xdr:cNvPr id="159" name="Rounded Rectangle 158">
          <a:extLst>
            <a:ext uri="{FF2B5EF4-FFF2-40B4-BE49-F238E27FC236}">
              <a16:creationId xmlns:a16="http://schemas.microsoft.com/office/drawing/2014/main" id="{00000000-0008-0000-0400-00009F000000}"/>
            </a:ext>
          </a:extLst>
        </xdr:cNvPr>
        <xdr:cNvSpPr/>
      </xdr:nvSpPr>
      <xdr:spPr bwMode="auto">
        <a:xfrm>
          <a:off x="107156" y="27277219"/>
          <a:ext cx="11227594" cy="4071937"/>
        </a:xfrm>
        <a:prstGeom prst="roundRect">
          <a:avLst/>
        </a:prstGeom>
        <a:solidFill>
          <a:schemeClr val="bg1">
            <a:lumMod val="85000"/>
          </a:schemeClr>
        </a:solidFill>
        <a:ln w="9525" cap="flat" cmpd="sng" algn="ctr">
          <a:solidFill>
            <a:srgbClr val="000000"/>
          </a:solidFill>
          <a:prstDash val="solid"/>
          <a:round/>
          <a:headEnd type="none" w="med" len="med"/>
          <a:tailEnd type="none" w="med" len="med"/>
        </a:ln>
        <a:effectLst>
          <a:outerShdw blurRad="50800" dist="38100" dir="13500000" algn="br" rotWithShape="0">
            <a:prstClr val="black">
              <a:alpha val="40000"/>
            </a:prstClr>
          </a:outerShdw>
        </a:effectLst>
        <a:scene3d>
          <a:camera prst="orthographicFront"/>
          <a:lightRig rig="flat" dir="t"/>
        </a:scene3d>
        <a:sp3d prstMaterial="translucentPowder">
          <a:bevelT w="127000"/>
          <a:bevelB w="127000"/>
        </a:sp3d>
      </xdr:spPr>
      <xdr:txBody>
        <a:bodyPr vertOverflow="clip" wrap="square" lIns="18288" tIns="0" rIns="0" bIns="0" rtlCol="0" anchor="ctr" upright="1"/>
        <a:lstStyle/>
        <a:p>
          <a:endParaRPr lang="en-US"/>
        </a:p>
      </xdr:txBody>
    </xdr:sp>
    <xdr:clientData/>
  </xdr:twoCellAnchor>
  <xdr:twoCellAnchor>
    <xdr:from>
      <xdr:col>0</xdr:col>
      <xdr:colOff>166687</xdr:colOff>
      <xdr:row>50</xdr:row>
      <xdr:rowOff>129127</xdr:rowOff>
    </xdr:from>
    <xdr:to>
      <xdr:col>18</xdr:col>
      <xdr:colOff>297656</xdr:colOff>
      <xdr:row>64</xdr:row>
      <xdr:rowOff>440531</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bwMode="auto">
        <a:xfrm>
          <a:off x="166687" y="8475408"/>
          <a:ext cx="11060907" cy="4359529"/>
        </a:xfrm>
        <a:prstGeom prst="roundRect">
          <a:avLst/>
        </a:prstGeom>
        <a:solidFill>
          <a:schemeClr val="bg1">
            <a:lumMod val="85000"/>
          </a:schemeClr>
        </a:solidFill>
        <a:ln w="9525" cap="flat" cmpd="sng" algn="ctr">
          <a:solidFill>
            <a:srgbClr val="000000"/>
          </a:solidFill>
          <a:prstDash val="solid"/>
          <a:round/>
          <a:headEnd type="none" w="med" len="med"/>
          <a:tailEnd type="none" w="med" len="med"/>
        </a:ln>
        <a:effectLst>
          <a:outerShdw blurRad="50800" dist="38100" dir="13500000" algn="br" rotWithShape="0">
            <a:prstClr val="black">
              <a:alpha val="40000"/>
            </a:prstClr>
          </a:outerShdw>
        </a:effectLst>
        <a:scene3d>
          <a:camera prst="orthographicFront"/>
          <a:lightRig rig="flat" dir="t"/>
        </a:scene3d>
        <a:sp3d prstMaterial="translucentPowder">
          <a:bevelT w="127000"/>
          <a:bevelB w="127000"/>
        </a:sp3d>
      </xdr:spPr>
      <xdr:txBody>
        <a:bodyPr vertOverflow="clip" wrap="square" lIns="18288" tIns="0" rIns="0" bIns="0" rtlCol="0" anchor="ctr" upright="1"/>
        <a:lstStyle/>
        <a:p>
          <a:endParaRPr lang="en-US"/>
        </a:p>
      </xdr:txBody>
    </xdr:sp>
    <xdr:clientData/>
  </xdr:twoCellAnchor>
  <xdr:twoCellAnchor>
    <xdr:from>
      <xdr:col>0</xdr:col>
      <xdr:colOff>166688</xdr:colOff>
      <xdr:row>24</xdr:row>
      <xdr:rowOff>70737</xdr:rowOff>
    </xdr:from>
    <xdr:to>
      <xdr:col>18</xdr:col>
      <xdr:colOff>369093</xdr:colOff>
      <xdr:row>45</xdr:row>
      <xdr:rowOff>70738</xdr:rowOff>
    </xdr:to>
    <xdr:sp macro="" textlink="">
      <xdr:nvSpPr>
        <xdr:cNvPr id="4" name="Rounded Rectangle 3">
          <a:extLst>
            <a:ext uri="{FF2B5EF4-FFF2-40B4-BE49-F238E27FC236}">
              <a16:creationId xmlns:a16="http://schemas.microsoft.com/office/drawing/2014/main" id="{00000000-0008-0000-0400-000004000000}"/>
            </a:ext>
          </a:extLst>
        </xdr:cNvPr>
        <xdr:cNvSpPr/>
      </xdr:nvSpPr>
      <xdr:spPr bwMode="auto">
        <a:xfrm>
          <a:off x="166688" y="3142550"/>
          <a:ext cx="11132343" cy="4286251"/>
        </a:xfrm>
        <a:prstGeom prst="roundRect">
          <a:avLst/>
        </a:prstGeom>
        <a:solidFill>
          <a:schemeClr val="bg1">
            <a:lumMod val="85000"/>
          </a:schemeClr>
        </a:solidFill>
        <a:ln w="9525" cap="flat" cmpd="sng" algn="ctr">
          <a:solidFill>
            <a:srgbClr val="000000"/>
          </a:solidFill>
          <a:prstDash val="solid"/>
          <a:round/>
          <a:headEnd type="none" w="med" len="med"/>
          <a:tailEnd type="none" w="med" len="med"/>
        </a:ln>
        <a:effectLst>
          <a:outerShdw blurRad="50800" dist="38100" dir="13500000" algn="br" rotWithShape="0">
            <a:prstClr val="black">
              <a:alpha val="40000"/>
            </a:prstClr>
          </a:outerShdw>
        </a:effectLst>
        <a:scene3d>
          <a:camera prst="orthographicFront"/>
          <a:lightRig rig="flat" dir="t"/>
        </a:scene3d>
        <a:sp3d prstMaterial="translucentPowder">
          <a:bevelT w="127000"/>
          <a:bevelB w="127000"/>
        </a:sp3d>
      </xdr:spPr>
      <xdr:txBody>
        <a:bodyPr vertOverflow="clip" wrap="square" lIns="18288" tIns="0" rIns="0" bIns="0" rtlCol="0" anchor="ctr" upright="1"/>
        <a:lstStyle/>
        <a:p>
          <a:endParaRPr lang="en-US"/>
        </a:p>
      </xdr:txBody>
    </xdr:sp>
    <xdr:clientData/>
  </xdr:twoCellAnchor>
  <xdr:twoCellAnchor>
    <xdr:from>
      <xdr:col>1</xdr:col>
      <xdr:colOff>5898</xdr:colOff>
      <xdr:row>29</xdr:row>
      <xdr:rowOff>66561</xdr:rowOff>
    </xdr:from>
    <xdr:to>
      <xdr:col>18</xdr:col>
      <xdr:colOff>114300</xdr:colOff>
      <xdr:row>44</xdr:row>
      <xdr:rowOff>307774</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xdr:colOff>
      <xdr:row>96</xdr:row>
      <xdr:rowOff>25400</xdr:rowOff>
    </xdr:from>
    <xdr:to>
      <xdr:col>18</xdr:col>
      <xdr:colOff>261937</xdr:colOff>
      <xdr:row>118</xdr:row>
      <xdr:rowOff>35719</xdr:rowOff>
    </xdr:to>
    <xdr:sp macro="" textlink="">
      <xdr:nvSpPr>
        <xdr:cNvPr id="26" name="Rounded Rectangle 25">
          <a:extLst>
            <a:ext uri="{FF2B5EF4-FFF2-40B4-BE49-F238E27FC236}">
              <a16:creationId xmlns:a16="http://schemas.microsoft.com/office/drawing/2014/main" id="{00000000-0008-0000-0400-00001A000000}"/>
            </a:ext>
          </a:extLst>
        </xdr:cNvPr>
        <xdr:cNvSpPr/>
      </xdr:nvSpPr>
      <xdr:spPr bwMode="auto">
        <a:xfrm>
          <a:off x="23812" y="22517100"/>
          <a:ext cx="11210925" cy="4226719"/>
        </a:xfrm>
        <a:prstGeom prst="roundRect">
          <a:avLst/>
        </a:prstGeom>
        <a:solidFill>
          <a:schemeClr val="bg1">
            <a:lumMod val="85000"/>
          </a:schemeClr>
        </a:solidFill>
        <a:ln w="9525" cap="flat" cmpd="sng" algn="ctr">
          <a:solidFill>
            <a:srgbClr val="000000"/>
          </a:solidFill>
          <a:prstDash val="solid"/>
          <a:round/>
          <a:headEnd type="none" w="med" len="med"/>
          <a:tailEnd type="none" w="med" len="med"/>
        </a:ln>
        <a:effectLst>
          <a:outerShdw blurRad="50800" dist="38100" dir="13500000" algn="br" rotWithShape="0">
            <a:prstClr val="black">
              <a:alpha val="40000"/>
            </a:prstClr>
          </a:outerShdw>
        </a:effectLst>
        <a:scene3d>
          <a:camera prst="orthographicFront"/>
          <a:lightRig rig="flat" dir="t"/>
        </a:scene3d>
        <a:sp3d prstMaterial="translucentPowder">
          <a:bevelT w="127000"/>
          <a:bevelB w="127000"/>
        </a:sp3d>
      </xdr:spPr>
      <xdr:txBody>
        <a:bodyPr vertOverflow="clip" wrap="square" lIns="18288" tIns="0" rIns="0" bIns="0" rtlCol="0" anchor="ctr" upright="1"/>
        <a:lstStyle/>
        <a:p>
          <a:endParaRPr lang="en-US"/>
        </a:p>
      </xdr:txBody>
    </xdr:sp>
    <xdr:clientData/>
  </xdr:twoCellAnchor>
  <xdr:twoCellAnchor>
    <xdr:from>
      <xdr:col>0</xdr:col>
      <xdr:colOff>405423</xdr:colOff>
      <xdr:row>100</xdr:row>
      <xdr:rowOff>139707</xdr:rowOff>
    </xdr:from>
    <xdr:to>
      <xdr:col>11</xdr:col>
      <xdr:colOff>416719</xdr:colOff>
      <xdr:row>117</xdr:row>
      <xdr:rowOff>11906</xdr:rowOff>
    </xdr:to>
    <xdr:graphicFrame macro="">
      <xdr:nvGraphicFramePr>
        <xdr:cNvPr id="25" name="Chart 24">
          <a:extLst>
            <a:ext uri="{FF2B5EF4-FFF2-40B4-BE49-F238E27FC236}">
              <a16:creationId xmlns:a16="http://schemas.microsoft.com/office/drawing/2014/main" id="{00000000-0008-0000-04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73</xdr:row>
      <xdr:rowOff>142875</xdr:rowOff>
    </xdr:from>
    <xdr:to>
      <xdr:col>18</xdr:col>
      <xdr:colOff>392906</xdr:colOff>
      <xdr:row>92</xdr:row>
      <xdr:rowOff>95250</xdr:rowOff>
    </xdr:to>
    <xdr:sp macro="" textlink="">
      <xdr:nvSpPr>
        <xdr:cNvPr id="87" name="Rounded Rectangle 86">
          <a:extLst>
            <a:ext uri="{FF2B5EF4-FFF2-40B4-BE49-F238E27FC236}">
              <a16:creationId xmlns:a16="http://schemas.microsoft.com/office/drawing/2014/main" id="{00000000-0008-0000-0400-000057000000}"/>
            </a:ext>
          </a:extLst>
        </xdr:cNvPr>
        <xdr:cNvSpPr/>
      </xdr:nvSpPr>
      <xdr:spPr bwMode="auto">
        <a:xfrm>
          <a:off x="190500" y="18026063"/>
          <a:ext cx="11132344" cy="4000500"/>
        </a:xfrm>
        <a:prstGeom prst="roundRect">
          <a:avLst/>
        </a:prstGeom>
        <a:solidFill>
          <a:schemeClr val="bg1">
            <a:lumMod val="85000"/>
          </a:schemeClr>
        </a:solidFill>
        <a:ln w="9525" cap="flat" cmpd="sng" algn="ctr">
          <a:solidFill>
            <a:srgbClr val="000000"/>
          </a:solidFill>
          <a:prstDash val="solid"/>
          <a:round/>
          <a:headEnd type="none" w="med" len="med"/>
          <a:tailEnd type="none" w="med" len="med"/>
        </a:ln>
        <a:effectLst>
          <a:outerShdw blurRad="50800" dist="38100" dir="13500000" algn="br" rotWithShape="0">
            <a:prstClr val="black">
              <a:alpha val="40000"/>
            </a:prstClr>
          </a:outerShdw>
        </a:effectLst>
        <a:scene3d>
          <a:camera prst="orthographicFront"/>
          <a:lightRig rig="flat" dir="t"/>
        </a:scene3d>
        <a:sp3d prstMaterial="translucentPowder">
          <a:bevelT w="127000"/>
          <a:bevelB w="127000"/>
        </a:sp3d>
      </xdr:spPr>
      <xdr:txBody>
        <a:bodyPr vertOverflow="clip" wrap="square" lIns="18288" tIns="0" rIns="0" bIns="0" rtlCol="0" anchor="ctr" upright="1"/>
        <a:lstStyle/>
        <a:p>
          <a:endParaRPr lang="en-US"/>
        </a:p>
      </xdr:txBody>
    </xdr:sp>
    <xdr:clientData/>
  </xdr:twoCellAnchor>
  <xdr:twoCellAnchor>
    <xdr:from>
      <xdr:col>0</xdr:col>
      <xdr:colOff>409003</xdr:colOff>
      <xdr:row>76</xdr:row>
      <xdr:rowOff>167697</xdr:rowOff>
    </xdr:from>
    <xdr:to>
      <xdr:col>11</xdr:col>
      <xdr:colOff>83021</xdr:colOff>
      <xdr:row>92</xdr:row>
      <xdr:rowOff>42323</xdr:rowOff>
    </xdr:to>
    <xdr:graphicFrame macro="">
      <xdr:nvGraphicFramePr>
        <xdr:cNvPr id="88" name="Chart 87">
          <a:extLst>
            <a:ext uri="{FF2B5EF4-FFF2-40B4-BE49-F238E27FC236}">
              <a16:creationId xmlns:a16="http://schemas.microsoft.com/office/drawing/2014/main" id="{00000000-0008-0000-0400-00005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150581</xdr:colOff>
      <xdr:row>24</xdr:row>
      <xdr:rowOff>89644</xdr:rowOff>
    </xdr:from>
    <xdr:to>
      <xdr:col>14</xdr:col>
      <xdr:colOff>571508</xdr:colOff>
      <xdr:row>28</xdr:row>
      <xdr:rowOff>107155</xdr:rowOff>
    </xdr:to>
    <xdr:sp macro="" textlink="">
      <xdr:nvSpPr>
        <xdr:cNvPr id="97" name="TextBox 96">
          <a:extLst>
            <a:ext uri="{FF2B5EF4-FFF2-40B4-BE49-F238E27FC236}">
              <a16:creationId xmlns:a16="http://schemas.microsoft.com/office/drawing/2014/main" id="{00000000-0008-0000-0400-000061000000}"/>
            </a:ext>
          </a:extLst>
        </xdr:cNvPr>
        <xdr:cNvSpPr txBox="1"/>
      </xdr:nvSpPr>
      <xdr:spPr>
        <a:xfrm>
          <a:off x="3186675" y="4304457"/>
          <a:ext cx="5885896" cy="779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en-US" sz="1800" b="1" u="none"/>
            <a:t>1.1 - Bicycle Parking Facility</a:t>
          </a:r>
          <a:r>
            <a:rPr lang="en-US" sz="1800" b="1" u="none" baseline="0"/>
            <a:t> Stated Preference vs. Observed Preference</a:t>
          </a:r>
        </a:p>
        <a:p>
          <a:pPr algn="ctr"/>
          <a:r>
            <a:rPr lang="en-US" sz="1800" b="1" u="none" baseline="0"/>
            <a:t>Pre-Investment Occupancy and Percentage of all surveys for station typology</a:t>
          </a:r>
        </a:p>
        <a:p>
          <a:pPr algn="ctr"/>
          <a:endParaRPr lang="en-US" sz="1800" b="1" u="none"/>
        </a:p>
      </xdr:txBody>
    </xdr:sp>
    <xdr:clientData/>
  </xdr:twoCellAnchor>
  <xdr:twoCellAnchor>
    <xdr:from>
      <xdr:col>0</xdr:col>
      <xdr:colOff>166688</xdr:colOff>
      <xdr:row>17</xdr:row>
      <xdr:rowOff>9104</xdr:rowOff>
    </xdr:from>
    <xdr:to>
      <xdr:col>18</xdr:col>
      <xdr:colOff>238125</xdr:colOff>
      <xdr:row>24</xdr:row>
      <xdr:rowOff>0</xdr:rowOff>
    </xdr:to>
    <xdr:sp macro="" textlink="">
      <xdr:nvSpPr>
        <xdr:cNvPr id="100" name="TextBox 99">
          <a:extLst>
            <a:ext uri="{FF2B5EF4-FFF2-40B4-BE49-F238E27FC236}">
              <a16:creationId xmlns:a16="http://schemas.microsoft.com/office/drawing/2014/main" id="{00000000-0008-0000-0400-000064000000}"/>
            </a:ext>
          </a:extLst>
        </xdr:cNvPr>
        <xdr:cNvSpPr txBox="1"/>
      </xdr:nvSpPr>
      <xdr:spPr>
        <a:xfrm>
          <a:off x="166688" y="2842792"/>
          <a:ext cx="11001375" cy="1395833"/>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500" b="1" i="1">
              <a:solidFill>
                <a:schemeClr val="dk1"/>
              </a:solidFill>
              <a:latin typeface="Arial" pitchFamily="34" charset="0"/>
              <a:ea typeface="+mn-ea"/>
              <a:cs typeface="Arial" pitchFamily="34" charset="0"/>
            </a:rPr>
            <a:t>1.1 - Bicycle</a:t>
          </a:r>
          <a:r>
            <a:rPr lang="en-US" sz="1500" b="1" i="1" baseline="0">
              <a:solidFill>
                <a:schemeClr val="dk1"/>
              </a:solidFill>
              <a:latin typeface="Arial" pitchFamily="34" charset="0"/>
              <a:ea typeface="+mn-ea"/>
              <a:cs typeface="Arial" pitchFamily="34" charset="0"/>
            </a:rPr>
            <a:t> Parking Facility Stated Preference vs. Observed Preference</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1" i="1" baseline="0">
            <a:solidFill>
              <a:schemeClr val="dk1"/>
            </a:solidFill>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1" baseline="0">
              <a:solidFill>
                <a:schemeClr val="dk1"/>
              </a:solidFill>
              <a:latin typeface="Arial" pitchFamily="34" charset="0"/>
              <a:ea typeface="+mn-ea"/>
              <a:cs typeface="Arial" pitchFamily="34" charset="0"/>
            </a:rPr>
            <a:t>Results of survey of BART riders  that asked their preferred bicycle parking facility type versus observed pre-investment bicycle parking facility occupancy. The survey information presented below is based on surveys aggregated to station typologies and represents the station typology corresponding to your selected station. The data includes the percentage who indicated a facility as one of their top 3 preferred bicycle facilities.</a:t>
          </a:r>
          <a:endParaRPr lang="en-US" sz="1300" b="1" i="1">
            <a:latin typeface="Arial" pitchFamily="34" charset="0"/>
            <a:cs typeface="Arial" pitchFamily="34" charset="0"/>
          </a:endParaRPr>
        </a:p>
      </xdr:txBody>
    </xdr:sp>
    <xdr:clientData/>
  </xdr:twoCellAnchor>
  <xdr:twoCellAnchor>
    <xdr:from>
      <xdr:col>0</xdr:col>
      <xdr:colOff>166687</xdr:colOff>
      <xdr:row>45</xdr:row>
      <xdr:rowOff>154780</xdr:rowOff>
    </xdr:from>
    <xdr:to>
      <xdr:col>18</xdr:col>
      <xdr:colOff>202406</xdr:colOff>
      <xdr:row>50</xdr:row>
      <xdr:rowOff>0</xdr:rowOff>
    </xdr:to>
    <xdr:sp macro="" textlink="">
      <xdr:nvSpPr>
        <xdr:cNvPr id="101" name="TextBox 100">
          <a:extLst>
            <a:ext uri="{FF2B5EF4-FFF2-40B4-BE49-F238E27FC236}">
              <a16:creationId xmlns:a16="http://schemas.microsoft.com/office/drawing/2014/main" id="{00000000-0008-0000-0400-000065000000}"/>
            </a:ext>
          </a:extLst>
        </xdr:cNvPr>
        <xdr:cNvSpPr txBox="1"/>
      </xdr:nvSpPr>
      <xdr:spPr>
        <a:xfrm>
          <a:off x="166687" y="8917780"/>
          <a:ext cx="10965657" cy="2107408"/>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500" b="1" i="1">
              <a:solidFill>
                <a:schemeClr val="dk1"/>
              </a:solidFill>
              <a:latin typeface="Arial" pitchFamily="34" charset="0"/>
              <a:ea typeface="+mn-ea"/>
              <a:cs typeface="Arial" pitchFamily="34" charset="0"/>
            </a:rPr>
            <a:t>1.2 -</a:t>
          </a:r>
          <a:r>
            <a:rPr lang="en-US" sz="1500" b="1" i="1" baseline="0">
              <a:solidFill>
                <a:schemeClr val="dk1"/>
              </a:solidFill>
              <a:latin typeface="Arial" pitchFamily="34" charset="0"/>
              <a:ea typeface="+mn-ea"/>
              <a:cs typeface="Arial" pitchFamily="34" charset="0"/>
            </a:rPr>
            <a:t> Ratio of short-term to long-term bicycle parking</a:t>
          </a:r>
          <a:endParaRPr lang="en-US" sz="1500" b="1" i="1">
            <a:solidFill>
              <a:schemeClr val="dk1"/>
            </a:solidFill>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300" b="1" i="1">
            <a:solidFill>
              <a:schemeClr val="dk1"/>
            </a:solidFill>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1">
              <a:solidFill>
                <a:schemeClr val="dk1"/>
              </a:solidFill>
              <a:latin typeface="Arial" pitchFamily="34" charset="0"/>
              <a:ea typeface="+mn-ea"/>
              <a:cs typeface="Arial" pitchFamily="34" charset="0"/>
            </a:rPr>
            <a:t>Compares bicycle</a:t>
          </a:r>
          <a:r>
            <a:rPr lang="en-US" sz="1300" b="1" i="1" baseline="0">
              <a:solidFill>
                <a:schemeClr val="dk1"/>
              </a:solidFill>
              <a:latin typeface="Arial" pitchFamily="34" charset="0"/>
              <a:ea typeface="+mn-ea"/>
              <a:cs typeface="Arial" pitchFamily="34" charset="0"/>
            </a:rPr>
            <a:t> parking provided at the station with the Association of Pedestrian and Bicycle Professionals (APBP) guidelines for recommended ratios of short-term versus long-term bicycle parking at transit stations. APBP recommends a ratio of 3.3 long-term bicycle parking spaces for every 1 short-term bicycle parking space at non-urban stations, and 3.5 long-term spaces for every 1 short-term space at urban stations.</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1" i="1" baseline="0">
            <a:solidFill>
              <a:schemeClr val="dk1"/>
            </a:solidFill>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1" baseline="0">
              <a:solidFill>
                <a:schemeClr val="dk1"/>
              </a:solidFill>
              <a:latin typeface="Arial" pitchFamily="34" charset="0"/>
              <a:ea typeface="+mn-ea"/>
              <a:cs typeface="Arial" pitchFamily="34" charset="0"/>
            </a:rPr>
            <a:t>Short-term bicycle parking is defined as racks outside of the fare gates.</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1" i="1" baseline="0">
            <a:solidFill>
              <a:schemeClr val="dk1"/>
            </a:solidFill>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1" baseline="0">
              <a:solidFill>
                <a:schemeClr val="dk1"/>
              </a:solidFill>
              <a:latin typeface="Arial" pitchFamily="34" charset="0"/>
              <a:ea typeface="+mn-ea"/>
              <a:cs typeface="Arial" pitchFamily="34" charset="0"/>
            </a:rPr>
            <a:t>Long-term bicycle parking is defined as racks inside the fare gates, keyed lockers, electronic lockers,  attended and self-serve bike stations, and bike cages.</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1" i="1" baseline="0">
            <a:solidFill>
              <a:schemeClr val="dk1"/>
            </a:solidFill>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1" baseline="0">
              <a:solidFill>
                <a:schemeClr val="dk1"/>
              </a:solidFill>
              <a:latin typeface="Arial" pitchFamily="34" charset="0"/>
              <a:ea typeface="+mn-ea"/>
              <a:cs typeface="Arial" pitchFamily="34" charset="0"/>
            </a:rPr>
            <a:t>This represents a slight deviation from APBP guidelines which would include racks inside the fare gates as short-term bicycle parking.</a:t>
          </a:r>
          <a:endParaRPr lang="en-US" sz="1300" b="1" i="1">
            <a:latin typeface="Arial" pitchFamily="34" charset="0"/>
            <a:cs typeface="Arial" pitchFamily="34" charset="0"/>
          </a:endParaRPr>
        </a:p>
      </xdr:txBody>
    </xdr:sp>
    <xdr:clientData/>
  </xdr:twoCellAnchor>
  <xdr:twoCellAnchor>
    <xdr:from>
      <xdr:col>0</xdr:col>
      <xdr:colOff>240925</xdr:colOff>
      <xdr:row>51</xdr:row>
      <xdr:rowOff>261936</xdr:rowOff>
    </xdr:from>
    <xdr:to>
      <xdr:col>6</xdr:col>
      <xdr:colOff>71437</xdr:colOff>
      <xdr:row>57</xdr:row>
      <xdr:rowOff>100011</xdr:rowOff>
    </xdr:to>
    <xdr:graphicFrame macro="">
      <xdr:nvGraphicFramePr>
        <xdr:cNvPr id="102" name="Chart 101">
          <a:extLst>
            <a:ext uri="{FF2B5EF4-FFF2-40B4-BE49-F238E27FC236}">
              <a16:creationId xmlns:a16="http://schemas.microsoft.com/office/drawing/2014/main" id="{00000000-0008-0000-0400-00006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53930</xdr:colOff>
      <xdr:row>53</xdr:row>
      <xdr:rowOff>16647</xdr:rowOff>
    </xdr:from>
    <xdr:to>
      <xdr:col>9</xdr:col>
      <xdr:colOff>492556</xdr:colOff>
      <xdr:row>62</xdr:row>
      <xdr:rowOff>83344</xdr:rowOff>
    </xdr:to>
    <xdr:graphicFrame macro="">
      <xdr:nvGraphicFramePr>
        <xdr:cNvPr id="103" name="Chart 102">
          <a:extLst>
            <a:ext uri="{FF2B5EF4-FFF2-40B4-BE49-F238E27FC236}">
              <a16:creationId xmlns:a16="http://schemas.microsoft.com/office/drawing/2014/main" id="{00000000-0008-0000-0400-00006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240926</xdr:colOff>
      <xdr:row>57</xdr:row>
      <xdr:rowOff>88506</xdr:rowOff>
    </xdr:from>
    <xdr:to>
      <xdr:col>6</xdr:col>
      <xdr:colOff>47625</xdr:colOff>
      <xdr:row>64</xdr:row>
      <xdr:rowOff>69456</xdr:rowOff>
    </xdr:to>
    <xdr:graphicFrame macro="">
      <xdr:nvGraphicFramePr>
        <xdr:cNvPr id="104" name="Chart 103">
          <a:extLst>
            <a:ext uri="{FF2B5EF4-FFF2-40B4-BE49-F238E27FC236}">
              <a16:creationId xmlns:a16="http://schemas.microsoft.com/office/drawing/2014/main" id="{00000000-0008-0000-0400-00006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404815</xdr:colOff>
      <xdr:row>50</xdr:row>
      <xdr:rowOff>178593</xdr:rowOff>
    </xdr:from>
    <xdr:to>
      <xdr:col>13</xdr:col>
      <xdr:colOff>595316</xdr:colOff>
      <xdr:row>52</xdr:row>
      <xdr:rowOff>105755</xdr:rowOff>
    </xdr:to>
    <xdr:sp macro="" textlink="">
      <xdr:nvSpPr>
        <xdr:cNvPr id="105" name="TextBox 104">
          <a:extLst>
            <a:ext uri="{FF2B5EF4-FFF2-40B4-BE49-F238E27FC236}">
              <a16:creationId xmlns:a16="http://schemas.microsoft.com/office/drawing/2014/main" id="{00000000-0008-0000-0400-000069000000}"/>
            </a:ext>
          </a:extLst>
        </xdr:cNvPr>
        <xdr:cNvSpPr txBox="1"/>
      </xdr:nvSpPr>
      <xdr:spPr>
        <a:xfrm>
          <a:off x="3440909" y="10965656"/>
          <a:ext cx="5048251" cy="784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800" b="1" u="none"/>
            <a:t>1.2 - Ratio of short-term </a:t>
          </a:r>
          <a:r>
            <a:rPr lang="en-US" sz="1800" b="1" u="none" baseline="0"/>
            <a:t>to long-term </a:t>
          </a:r>
          <a:r>
            <a:rPr lang="en-US" sz="1800" b="1" u="none"/>
            <a:t>bicycle parking</a:t>
          </a:r>
        </a:p>
        <a:p>
          <a:pPr algn="ctr"/>
          <a:r>
            <a:rPr lang="en-US" sz="1800" b="1" u="none"/>
            <a:t>All Units in Bicycle Parking Spaces</a:t>
          </a:r>
        </a:p>
      </xdr:txBody>
    </xdr:sp>
    <xdr:clientData/>
  </xdr:twoCellAnchor>
  <xdr:twoCellAnchor>
    <xdr:from>
      <xdr:col>11</xdr:col>
      <xdr:colOff>83350</xdr:colOff>
      <xdr:row>58</xdr:row>
      <xdr:rowOff>83320</xdr:rowOff>
    </xdr:from>
    <xdr:to>
      <xdr:col>18</xdr:col>
      <xdr:colOff>95249</xdr:colOff>
      <xdr:row>63</xdr:row>
      <xdr:rowOff>140457</xdr:rowOff>
    </xdr:to>
    <xdr:grpSp>
      <xdr:nvGrpSpPr>
        <xdr:cNvPr id="117" name="Group 116">
          <a:extLst>
            <a:ext uri="{FF2B5EF4-FFF2-40B4-BE49-F238E27FC236}">
              <a16:creationId xmlns:a16="http://schemas.microsoft.com/office/drawing/2014/main" id="{00000000-0008-0000-0400-000075000000}"/>
            </a:ext>
          </a:extLst>
        </xdr:cNvPr>
        <xdr:cNvGrpSpPr/>
      </xdr:nvGrpSpPr>
      <xdr:grpSpPr>
        <a:xfrm>
          <a:off x="6818886" y="14683784"/>
          <a:ext cx="4298149" cy="1295387"/>
          <a:chOff x="6750844" y="8620125"/>
          <a:chExt cx="3369466" cy="1214927"/>
        </a:xfrm>
      </xdr:grpSpPr>
      <xdr:sp macro="" textlink="">
        <xdr:nvSpPr>
          <xdr:cNvPr id="106" name="TextBox 105">
            <a:extLst>
              <a:ext uri="{FF2B5EF4-FFF2-40B4-BE49-F238E27FC236}">
                <a16:creationId xmlns:a16="http://schemas.microsoft.com/office/drawing/2014/main" id="{00000000-0008-0000-0400-00006A000000}"/>
              </a:ext>
            </a:extLst>
          </xdr:cNvPr>
          <xdr:cNvSpPr txBox="1"/>
        </xdr:nvSpPr>
        <xdr:spPr>
          <a:xfrm>
            <a:off x="6750844" y="9243101"/>
            <a:ext cx="913048" cy="246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Short-Term</a:t>
            </a:r>
          </a:p>
        </xdr:txBody>
      </xdr:sp>
      <xdr:sp macro="" textlink="">
        <xdr:nvSpPr>
          <xdr:cNvPr id="107" name="TextBox 106">
            <a:extLst>
              <a:ext uri="{FF2B5EF4-FFF2-40B4-BE49-F238E27FC236}">
                <a16:creationId xmlns:a16="http://schemas.microsoft.com/office/drawing/2014/main" id="{00000000-0008-0000-0400-00006B000000}"/>
              </a:ext>
            </a:extLst>
          </xdr:cNvPr>
          <xdr:cNvSpPr txBox="1"/>
        </xdr:nvSpPr>
        <xdr:spPr>
          <a:xfrm>
            <a:off x="6750844" y="9560912"/>
            <a:ext cx="970637" cy="274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Long-Term</a:t>
            </a:r>
          </a:p>
        </xdr:txBody>
      </xdr:sp>
      <xdr:sp macro="" textlink="">
        <xdr:nvSpPr>
          <xdr:cNvPr id="108" name="TextBox 107">
            <a:extLst>
              <a:ext uri="{FF2B5EF4-FFF2-40B4-BE49-F238E27FC236}">
                <a16:creationId xmlns:a16="http://schemas.microsoft.com/office/drawing/2014/main" id="{00000000-0008-0000-0400-00006C000000}"/>
              </a:ext>
            </a:extLst>
          </xdr:cNvPr>
          <xdr:cNvSpPr txBox="1"/>
        </xdr:nvSpPr>
        <xdr:spPr>
          <a:xfrm>
            <a:off x="7824753" y="8624955"/>
            <a:ext cx="669569" cy="598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b="1"/>
              <a:t>Pre-invest.</a:t>
            </a:r>
            <a:r>
              <a:rPr lang="en-US" sz="1400" b="1" baseline="0"/>
              <a:t> </a:t>
            </a:r>
          </a:p>
          <a:p>
            <a:r>
              <a:rPr lang="en-US" sz="1400" b="1" baseline="0"/>
              <a:t>Supply</a:t>
            </a:r>
            <a:endParaRPr lang="en-US" sz="1400" b="1"/>
          </a:p>
        </xdr:txBody>
      </xdr:sp>
      <xdr:sp macro="" textlink="">
        <xdr:nvSpPr>
          <xdr:cNvPr id="109" name="TextBox 108">
            <a:extLst>
              <a:ext uri="{FF2B5EF4-FFF2-40B4-BE49-F238E27FC236}">
                <a16:creationId xmlns:a16="http://schemas.microsoft.com/office/drawing/2014/main" id="{00000000-0008-0000-0400-00006D000000}"/>
              </a:ext>
            </a:extLst>
          </xdr:cNvPr>
          <xdr:cNvSpPr txBox="1"/>
        </xdr:nvSpPr>
        <xdr:spPr>
          <a:xfrm>
            <a:off x="8515990" y="8624955"/>
            <a:ext cx="682888" cy="598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b="1"/>
              <a:t>Scenario</a:t>
            </a:r>
            <a:endParaRPr lang="en-US" sz="1400" b="1" baseline="0"/>
          </a:p>
          <a:p>
            <a:r>
              <a:rPr lang="en-US" sz="1400" b="1" baseline="0"/>
              <a:t>Supply</a:t>
            </a:r>
            <a:endParaRPr lang="en-US" sz="1400" b="1"/>
          </a:p>
        </xdr:txBody>
      </xdr:sp>
      <xdr:sp macro="" textlink="">
        <xdr:nvSpPr>
          <xdr:cNvPr id="110" name="TextBox 109">
            <a:extLst>
              <a:ext uri="{FF2B5EF4-FFF2-40B4-BE49-F238E27FC236}">
                <a16:creationId xmlns:a16="http://schemas.microsoft.com/office/drawing/2014/main" id="{00000000-0008-0000-0400-00006E000000}"/>
              </a:ext>
            </a:extLst>
          </xdr:cNvPr>
          <xdr:cNvSpPr txBox="1"/>
        </xdr:nvSpPr>
        <xdr:spPr>
          <a:xfrm>
            <a:off x="9122553" y="8620125"/>
            <a:ext cx="997757" cy="571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b="1" u="none"/>
              <a:t>Recommended</a:t>
            </a:r>
          </a:p>
          <a:p>
            <a:r>
              <a:rPr lang="en-US" sz="1400" b="1" u="none"/>
              <a:t>Supply</a:t>
            </a:r>
          </a:p>
        </xdr:txBody>
      </xdr:sp>
      <xdr:sp macro="" textlink="$AC$36">
        <xdr:nvSpPr>
          <xdr:cNvPr id="111" name="TextBox 110">
            <a:extLst>
              <a:ext uri="{FF2B5EF4-FFF2-40B4-BE49-F238E27FC236}">
                <a16:creationId xmlns:a16="http://schemas.microsoft.com/office/drawing/2014/main" id="{00000000-0008-0000-0400-00006F000000}"/>
              </a:ext>
            </a:extLst>
          </xdr:cNvPr>
          <xdr:cNvSpPr txBox="1"/>
        </xdr:nvSpPr>
        <xdr:spPr>
          <a:xfrm>
            <a:off x="7995291" y="9229584"/>
            <a:ext cx="257056"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CD5EF819-F216-42A4-9C1D-E8A01C3427E9}" type="TxLink">
              <a:rPr lang="en-US" sz="1400" b="0" i="0" u="none" strike="noStrike">
                <a:solidFill>
                  <a:srgbClr val="000000"/>
                </a:solidFill>
                <a:latin typeface="+mn-lt"/>
                <a:cs typeface="Calibri"/>
              </a:rPr>
              <a:pPr/>
              <a:t>21</a:t>
            </a:fld>
            <a:endParaRPr lang="en-US" sz="1400">
              <a:latin typeface="+mn-lt"/>
            </a:endParaRPr>
          </a:p>
        </xdr:txBody>
      </xdr:sp>
      <xdr:sp macro="" textlink="$AD$36">
        <xdr:nvSpPr>
          <xdr:cNvPr id="112" name="TextBox 111">
            <a:extLst>
              <a:ext uri="{FF2B5EF4-FFF2-40B4-BE49-F238E27FC236}">
                <a16:creationId xmlns:a16="http://schemas.microsoft.com/office/drawing/2014/main" id="{00000000-0008-0000-0400-000070000000}"/>
              </a:ext>
            </a:extLst>
          </xdr:cNvPr>
          <xdr:cNvSpPr txBox="1"/>
        </xdr:nvSpPr>
        <xdr:spPr>
          <a:xfrm>
            <a:off x="8657470" y="9241490"/>
            <a:ext cx="257056"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066D540A-16B9-418D-A866-E5851DEF9C93}" type="TxLink">
              <a:rPr lang="en-US" sz="1400" b="0" i="0" u="none" strike="noStrike">
                <a:solidFill>
                  <a:srgbClr val="000000"/>
                </a:solidFill>
                <a:latin typeface="+mn-lt"/>
                <a:cs typeface="Calibri"/>
              </a:rPr>
              <a:pPr/>
              <a:t>21</a:t>
            </a:fld>
            <a:endParaRPr lang="en-US" sz="1400">
              <a:latin typeface="+mn-lt"/>
            </a:endParaRPr>
          </a:p>
        </xdr:txBody>
      </xdr:sp>
      <xdr:sp macro="" textlink="$AE$36">
        <xdr:nvSpPr>
          <xdr:cNvPr id="113" name="TextBox 112">
            <a:extLst>
              <a:ext uri="{FF2B5EF4-FFF2-40B4-BE49-F238E27FC236}">
                <a16:creationId xmlns:a16="http://schemas.microsoft.com/office/drawing/2014/main" id="{00000000-0008-0000-0400-000071000000}"/>
              </a:ext>
            </a:extLst>
          </xdr:cNvPr>
          <xdr:cNvSpPr txBox="1"/>
        </xdr:nvSpPr>
        <xdr:spPr>
          <a:xfrm>
            <a:off x="9394672" y="9229584"/>
            <a:ext cx="358270"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2DFD3868-BA0D-4D01-85C5-81D29583B5D8}" type="TxLink">
              <a:rPr lang="en-US" sz="1400" b="0" i="0" u="none" strike="noStrike">
                <a:solidFill>
                  <a:srgbClr val="000000"/>
                </a:solidFill>
                <a:latin typeface="+mn-lt"/>
                <a:cs typeface="Calibri"/>
              </a:rPr>
              <a:pPr/>
              <a:t>72</a:t>
            </a:fld>
            <a:endParaRPr lang="en-US" sz="1400">
              <a:latin typeface="+mn-lt"/>
            </a:endParaRPr>
          </a:p>
        </xdr:txBody>
      </xdr:sp>
      <xdr:sp macro="" textlink="$AC$37">
        <xdr:nvSpPr>
          <xdr:cNvPr id="114" name="TextBox 113">
            <a:extLst>
              <a:ext uri="{FF2B5EF4-FFF2-40B4-BE49-F238E27FC236}">
                <a16:creationId xmlns:a16="http://schemas.microsoft.com/office/drawing/2014/main" id="{00000000-0008-0000-0400-000072000000}"/>
              </a:ext>
            </a:extLst>
          </xdr:cNvPr>
          <xdr:cNvSpPr txBox="1"/>
        </xdr:nvSpPr>
        <xdr:spPr>
          <a:xfrm>
            <a:off x="7995137" y="9560973"/>
            <a:ext cx="328801"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607E706D-12D5-4917-8BEA-363557810C1B}" type="TxLink">
              <a:rPr lang="en-US" sz="1400" b="0" i="0" u="none" strike="noStrike">
                <a:solidFill>
                  <a:srgbClr val="000000"/>
                </a:solidFill>
                <a:latin typeface="+mn-lt"/>
                <a:cs typeface="Calibri"/>
              </a:rPr>
              <a:pPr/>
              <a:t>32</a:t>
            </a:fld>
            <a:endParaRPr lang="en-US" sz="1400">
              <a:latin typeface="+mn-lt"/>
            </a:endParaRPr>
          </a:p>
        </xdr:txBody>
      </xdr:sp>
      <xdr:sp macro="" textlink="$AD$37">
        <xdr:nvSpPr>
          <xdr:cNvPr id="115" name="TextBox 114">
            <a:extLst>
              <a:ext uri="{FF2B5EF4-FFF2-40B4-BE49-F238E27FC236}">
                <a16:creationId xmlns:a16="http://schemas.microsoft.com/office/drawing/2014/main" id="{00000000-0008-0000-0400-000073000000}"/>
              </a:ext>
            </a:extLst>
          </xdr:cNvPr>
          <xdr:cNvSpPr txBox="1"/>
        </xdr:nvSpPr>
        <xdr:spPr>
          <a:xfrm>
            <a:off x="8631575" y="9560973"/>
            <a:ext cx="328801"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1A6F683B-35CA-4029-82EE-EE3EBA0F5712}" type="TxLink">
              <a:rPr lang="en-US" sz="1400" b="0" i="0" u="none" strike="noStrike">
                <a:solidFill>
                  <a:srgbClr val="000000"/>
                </a:solidFill>
                <a:latin typeface="+mn-lt"/>
                <a:cs typeface="Calibri"/>
              </a:rPr>
              <a:pPr/>
              <a:t>302</a:t>
            </a:fld>
            <a:endParaRPr lang="en-US" sz="1400">
              <a:latin typeface="+mn-lt"/>
            </a:endParaRPr>
          </a:p>
        </xdr:txBody>
      </xdr:sp>
      <xdr:sp macro="" textlink="$AE$37">
        <xdr:nvSpPr>
          <xdr:cNvPr id="116" name="TextBox 115">
            <a:extLst>
              <a:ext uri="{FF2B5EF4-FFF2-40B4-BE49-F238E27FC236}">
                <a16:creationId xmlns:a16="http://schemas.microsoft.com/office/drawing/2014/main" id="{00000000-0008-0000-0400-000074000000}"/>
              </a:ext>
            </a:extLst>
          </xdr:cNvPr>
          <xdr:cNvSpPr txBox="1"/>
        </xdr:nvSpPr>
        <xdr:spPr>
          <a:xfrm>
            <a:off x="9370706" y="9560973"/>
            <a:ext cx="430015"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CAC8DE18-01F3-40A5-A83D-600D7EA88E68}" type="TxLink">
              <a:rPr lang="en-US" sz="1400" b="0" i="0" u="none" strike="noStrike">
                <a:solidFill>
                  <a:srgbClr val="000000"/>
                </a:solidFill>
                <a:latin typeface="+mn-lt"/>
                <a:cs typeface="Calibri"/>
              </a:rPr>
              <a:pPr/>
              <a:t>251</a:t>
            </a:fld>
            <a:endParaRPr lang="en-US" sz="1400">
              <a:latin typeface="+mn-lt"/>
            </a:endParaRPr>
          </a:p>
        </xdr:txBody>
      </xdr:sp>
    </xdr:grpSp>
    <xdr:clientData/>
  </xdr:twoCellAnchor>
  <xdr:twoCellAnchor>
    <xdr:from>
      <xdr:col>11</xdr:col>
      <xdr:colOff>83350</xdr:colOff>
      <xdr:row>52</xdr:row>
      <xdr:rowOff>190500</xdr:rowOff>
    </xdr:from>
    <xdr:to>
      <xdr:col>18</xdr:col>
      <xdr:colOff>59531</xdr:colOff>
      <xdr:row>58</xdr:row>
      <xdr:rowOff>59532</xdr:rowOff>
    </xdr:to>
    <xdr:grpSp>
      <xdr:nvGrpSpPr>
        <xdr:cNvPr id="118" name="Group 117">
          <a:extLst>
            <a:ext uri="{FF2B5EF4-FFF2-40B4-BE49-F238E27FC236}">
              <a16:creationId xmlns:a16="http://schemas.microsoft.com/office/drawing/2014/main" id="{00000000-0008-0000-0400-000076000000}"/>
            </a:ext>
          </a:extLst>
        </xdr:cNvPr>
        <xdr:cNvGrpSpPr/>
      </xdr:nvGrpSpPr>
      <xdr:grpSpPr>
        <a:xfrm>
          <a:off x="6818886" y="13403036"/>
          <a:ext cx="4262431" cy="1256960"/>
          <a:chOff x="6750844" y="8620125"/>
          <a:chExt cx="3333748" cy="1530846"/>
        </a:xfrm>
      </xdr:grpSpPr>
      <xdr:sp macro="" textlink="">
        <xdr:nvSpPr>
          <xdr:cNvPr id="119" name="TextBox 118">
            <a:extLst>
              <a:ext uri="{FF2B5EF4-FFF2-40B4-BE49-F238E27FC236}">
                <a16:creationId xmlns:a16="http://schemas.microsoft.com/office/drawing/2014/main" id="{00000000-0008-0000-0400-000077000000}"/>
              </a:ext>
            </a:extLst>
          </xdr:cNvPr>
          <xdr:cNvSpPr txBox="1"/>
        </xdr:nvSpPr>
        <xdr:spPr>
          <a:xfrm>
            <a:off x="6750844" y="9255007"/>
            <a:ext cx="913048" cy="450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Short-Term</a:t>
            </a:r>
          </a:p>
        </xdr:txBody>
      </xdr:sp>
      <xdr:sp macro="" textlink="">
        <xdr:nvSpPr>
          <xdr:cNvPr id="120" name="TextBox 119">
            <a:extLst>
              <a:ext uri="{FF2B5EF4-FFF2-40B4-BE49-F238E27FC236}">
                <a16:creationId xmlns:a16="http://schemas.microsoft.com/office/drawing/2014/main" id="{00000000-0008-0000-0400-000078000000}"/>
              </a:ext>
            </a:extLst>
          </xdr:cNvPr>
          <xdr:cNvSpPr txBox="1"/>
        </xdr:nvSpPr>
        <xdr:spPr>
          <a:xfrm>
            <a:off x="6750844" y="9784245"/>
            <a:ext cx="970637" cy="36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Long-Term</a:t>
            </a:r>
          </a:p>
        </xdr:txBody>
      </xdr:sp>
      <xdr:sp macro="" textlink="">
        <xdr:nvSpPr>
          <xdr:cNvPr id="121" name="TextBox 120">
            <a:extLst>
              <a:ext uri="{FF2B5EF4-FFF2-40B4-BE49-F238E27FC236}">
                <a16:creationId xmlns:a16="http://schemas.microsoft.com/office/drawing/2014/main" id="{00000000-0008-0000-0400-000079000000}"/>
              </a:ext>
            </a:extLst>
          </xdr:cNvPr>
          <xdr:cNvSpPr txBox="1"/>
        </xdr:nvSpPr>
        <xdr:spPr>
          <a:xfrm>
            <a:off x="7824753" y="8624955"/>
            <a:ext cx="669569" cy="598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b="1"/>
              <a:t>Pre-invest.</a:t>
            </a:r>
            <a:endParaRPr lang="en-US" sz="1400" b="1" baseline="0"/>
          </a:p>
          <a:p>
            <a:r>
              <a:rPr lang="en-US" sz="1400" b="1" baseline="0"/>
              <a:t>Split</a:t>
            </a:r>
            <a:endParaRPr lang="en-US" sz="1400" b="1"/>
          </a:p>
        </xdr:txBody>
      </xdr:sp>
      <xdr:sp macro="" textlink="">
        <xdr:nvSpPr>
          <xdr:cNvPr id="122" name="TextBox 121">
            <a:extLst>
              <a:ext uri="{FF2B5EF4-FFF2-40B4-BE49-F238E27FC236}">
                <a16:creationId xmlns:a16="http://schemas.microsoft.com/office/drawing/2014/main" id="{00000000-0008-0000-0400-00007A000000}"/>
              </a:ext>
            </a:extLst>
          </xdr:cNvPr>
          <xdr:cNvSpPr txBox="1"/>
        </xdr:nvSpPr>
        <xdr:spPr>
          <a:xfrm>
            <a:off x="8504084" y="8624955"/>
            <a:ext cx="682888" cy="598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b="1"/>
              <a:t>Scenario</a:t>
            </a:r>
            <a:endParaRPr lang="en-US" sz="1400" b="1" baseline="0"/>
          </a:p>
          <a:p>
            <a:r>
              <a:rPr lang="en-US" sz="1400" b="1" baseline="0"/>
              <a:t>Split</a:t>
            </a:r>
            <a:endParaRPr lang="en-US" sz="1400" b="1"/>
          </a:p>
        </xdr:txBody>
      </xdr:sp>
      <xdr:sp macro="" textlink="">
        <xdr:nvSpPr>
          <xdr:cNvPr id="123" name="TextBox 122">
            <a:extLst>
              <a:ext uri="{FF2B5EF4-FFF2-40B4-BE49-F238E27FC236}">
                <a16:creationId xmlns:a16="http://schemas.microsoft.com/office/drawing/2014/main" id="{00000000-0008-0000-0400-00007B000000}"/>
              </a:ext>
            </a:extLst>
          </xdr:cNvPr>
          <xdr:cNvSpPr txBox="1"/>
        </xdr:nvSpPr>
        <xdr:spPr>
          <a:xfrm>
            <a:off x="9086835" y="8620125"/>
            <a:ext cx="997757" cy="535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b="1" u="none"/>
              <a:t>Recommended</a:t>
            </a:r>
          </a:p>
          <a:p>
            <a:r>
              <a:rPr lang="en-US" sz="1400" b="1" u="none"/>
              <a:t>Split</a:t>
            </a:r>
          </a:p>
        </xdr:txBody>
      </xdr:sp>
      <xdr:sp macro="" textlink="$AC$38">
        <xdr:nvSpPr>
          <xdr:cNvPr id="124" name="TextBox 123">
            <a:extLst>
              <a:ext uri="{FF2B5EF4-FFF2-40B4-BE49-F238E27FC236}">
                <a16:creationId xmlns:a16="http://schemas.microsoft.com/office/drawing/2014/main" id="{00000000-0008-0000-0400-00007C000000}"/>
              </a:ext>
            </a:extLst>
          </xdr:cNvPr>
          <xdr:cNvSpPr txBox="1"/>
        </xdr:nvSpPr>
        <xdr:spPr>
          <a:xfrm>
            <a:off x="7923855" y="9241490"/>
            <a:ext cx="257056"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10EAB761-9200-40C6-A6E4-81A4C73800DE}" type="TxLink">
              <a:rPr lang="en-US" sz="1400" b="0" i="0" u="none" strike="noStrike">
                <a:solidFill>
                  <a:srgbClr val="000000"/>
                </a:solidFill>
                <a:latin typeface="+mn-lt"/>
                <a:cs typeface="Calibri"/>
              </a:rPr>
              <a:pPr/>
              <a:t>40%</a:t>
            </a:fld>
            <a:endParaRPr lang="en-US" sz="1400">
              <a:latin typeface="+mn-lt"/>
            </a:endParaRPr>
          </a:p>
        </xdr:txBody>
      </xdr:sp>
      <xdr:sp macro="" textlink="$AD$38">
        <xdr:nvSpPr>
          <xdr:cNvPr id="125" name="TextBox 124">
            <a:extLst>
              <a:ext uri="{FF2B5EF4-FFF2-40B4-BE49-F238E27FC236}">
                <a16:creationId xmlns:a16="http://schemas.microsoft.com/office/drawing/2014/main" id="{00000000-0008-0000-0400-00007D000000}"/>
              </a:ext>
            </a:extLst>
          </xdr:cNvPr>
          <xdr:cNvSpPr txBox="1"/>
        </xdr:nvSpPr>
        <xdr:spPr>
          <a:xfrm>
            <a:off x="8633658" y="9241490"/>
            <a:ext cx="257056"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FCCB3A2E-9ED2-4B0F-AA54-4360CE8BBA7D}" type="TxLink">
              <a:rPr lang="en-US" sz="1400" b="0" i="0" u="none" strike="noStrike">
                <a:solidFill>
                  <a:srgbClr val="000000"/>
                </a:solidFill>
                <a:latin typeface="+mn-lt"/>
                <a:cs typeface="Calibri"/>
              </a:rPr>
              <a:pPr/>
              <a:t>7%</a:t>
            </a:fld>
            <a:endParaRPr lang="en-US" sz="1400">
              <a:latin typeface="+mn-lt"/>
            </a:endParaRPr>
          </a:p>
        </xdr:txBody>
      </xdr:sp>
      <xdr:sp macro="" textlink="$AE$38">
        <xdr:nvSpPr>
          <xdr:cNvPr id="126" name="TextBox 125">
            <a:extLst>
              <a:ext uri="{FF2B5EF4-FFF2-40B4-BE49-F238E27FC236}">
                <a16:creationId xmlns:a16="http://schemas.microsoft.com/office/drawing/2014/main" id="{00000000-0008-0000-0400-00007E000000}"/>
              </a:ext>
            </a:extLst>
          </xdr:cNvPr>
          <xdr:cNvSpPr txBox="1"/>
        </xdr:nvSpPr>
        <xdr:spPr>
          <a:xfrm>
            <a:off x="9287518" y="9241490"/>
            <a:ext cx="358270"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3C619A90-C865-4B4F-B6CC-AB16D5C185CD}" type="TxLink">
              <a:rPr lang="en-US" sz="1400" b="0" i="0" u="none" strike="noStrike">
                <a:solidFill>
                  <a:srgbClr val="000000"/>
                </a:solidFill>
                <a:latin typeface="+mn-lt"/>
                <a:cs typeface="Calibri"/>
              </a:rPr>
              <a:pPr/>
              <a:t>22%</a:t>
            </a:fld>
            <a:endParaRPr lang="en-US" sz="1400">
              <a:latin typeface="+mn-lt"/>
            </a:endParaRPr>
          </a:p>
        </xdr:txBody>
      </xdr:sp>
      <xdr:sp macro="" textlink="$AC$39">
        <xdr:nvSpPr>
          <xdr:cNvPr id="127" name="TextBox 126">
            <a:extLst>
              <a:ext uri="{FF2B5EF4-FFF2-40B4-BE49-F238E27FC236}">
                <a16:creationId xmlns:a16="http://schemas.microsoft.com/office/drawing/2014/main" id="{00000000-0008-0000-0400-00007F000000}"/>
              </a:ext>
            </a:extLst>
          </xdr:cNvPr>
          <xdr:cNvSpPr txBox="1"/>
        </xdr:nvSpPr>
        <xdr:spPr>
          <a:xfrm>
            <a:off x="7923701" y="9784306"/>
            <a:ext cx="328801"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BD66DBEA-E5EF-434D-B84B-103222673F06}" type="TxLink">
              <a:rPr lang="en-US" sz="1400" b="0" i="0" u="none" strike="noStrike">
                <a:solidFill>
                  <a:srgbClr val="000000"/>
                </a:solidFill>
                <a:latin typeface="+mn-lt"/>
                <a:cs typeface="Calibri"/>
              </a:rPr>
              <a:pPr/>
              <a:t>60%</a:t>
            </a:fld>
            <a:endParaRPr lang="en-US" sz="1400">
              <a:latin typeface="+mn-lt"/>
            </a:endParaRPr>
          </a:p>
        </xdr:txBody>
      </xdr:sp>
      <xdr:sp macro="" textlink="$AD$39">
        <xdr:nvSpPr>
          <xdr:cNvPr id="128" name="TextBox 127">
            <a:extLst>
              <a:ext uri="{FF2B5EF4-FFF2-40B4-BE49-F238E27FC236}">
                <a16:creationId xmlns:a16="http://schemas.microsoft.com/office/drawing/2014/main" id="{00000000-0008-0000-0400-000080000000}"/>
              </a:ext>
            </a:extLst>
          </xdr:cNvPr>
          <xdr:cNvSpPr txBox="1"/>
        </xdr:nvSpPr>
        <xdr:spPr>
          <a:xfrm>
            <a:off x="8633504" y="9784306"/>
            <a:ext cx="328801"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1F6E8C8C-1FF8-4785-A2D3-66ADCB6330AE}" type="TxLink">
              <a:rPr lang="en-US" sz="1400" b="0" i="0" u="none" strike="noStrike">
                <a:solidFill>
                  <a:srgbClr val="000000"/>
                </a:solidFill>
                <a:latin typeface="+mn-lt"/>
                <a:cs typeface="Calibri"/>
              </a:rPr>
              <a:pPr/>
              <a:t>93%</a:t>
            </a:fld>
            <a:endParaRPr lang="en-US" sz="1400">
              <a:latin typeface="+mn-lt"/>
            </a:endParaRPr>
          </a:p>
        </xdr:txBody>
      </xdr:sp>
      <xdr:sp macro="" textlink="$AE$39">
        <xdr:nvSpPr>
          <xdr:cNvPr id="129" name="TextBox 128">
            <a:extLst>
              <a:ext uri="{FF2B5EF4-FFF2-40B4-BE49-F238E27FC236}">
                <a16:creationId xmlns:a16="http://schemas.microsoft.com/office/drawing/2014/main" id="{00000000-0008-0000-0400-000081000000}"/>
              </a:ext>
            </a:extLst>
          </xdr:cNvPr>
          <xdr:cNvSpPr txBox="1"/>
        </xdr:nvSpPr>
        <xdr:spPr>
          <a:xfrm>
            <a:off x="9287364" y="9784306"/>
            <a:ext cx="430015"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58EB1303-4CAA-45EB-B264-24E803236DF7}" type="TxLink">
              <a:rPr lang="en-US" sz="1400" b="0" i="0" u="none" strike="noStrike">
                <a:solidFill>
                  <a:srgbClr val="000000"/>
                </a:solidFill>
                <a:latin typeface="+mn-lt"/>
                <a:cs typeface="Calibri"/>
              </a:rPr>
              <a:pPr/>
              <a:t>78%</a:t>
            </a:fld>
            <a:endParaRPr lang="en-US" sz="1400">
              <a:latin typeface="+mn-lt"/>
            </a:endParaRPr>
          </a:p>
        </xdr:txBody>
      </xdr:sp>
    </xdr:grpSp>
    <xdr:clientData/>
  </xdr:twoCellAnchor>
  <xdr:twoCellAnchor>
    <xdr:from>
      <xdr:col>5</xdr:col>
      <xdr:colOff>500065</xdr:colOff>
      <xdr:row>73</xdr:row>
      <xdr:rowOff>166686</xdr:rowOff>
    </xdr:from>
    <xdr:to>
      <xdr:col>13</xdr:col>
      <xdr:colOff>357191</xdr:colOff>
      <xdr:row>76</xdr:row>
      <xdr:rowOff>58129</xdr:rowOff>
    </xdr:to>
    <xdr:sp macro="" textlink="">
      <xdr:nvSpPr>
        <xdr:cNvPr id="131" name="TextBox 130">
          <a:extLst>
            <a:ext uri="{FF2B5EF4-FFF2-40B4-BE49-F238E27FC236}">
              <a16:creationId xmlns:a16="http://schemas.microsoft.com/office/drawing/2014/main" id="{00000000-0008-0000-0400-000083000000}"/>
            </a:ext>
          </a:extLst>
        </xdr:cNvPr>
        <xdr:cNvSpPr txBox="1"/>
      </xdr:nvSpPr>
      <xdr:spPr>
        <a:xfrm>
          <a:off x="3536159" y="16954499"/>
          <a:ext cx="4714876" cy="46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lang="en-US" sz="1800" b="1" u="none"/>
            <a:t>2.1 - Daily Bicycle Access Ridership Increase</a:t>
          </a:r>
        </a:p>
      </xdr:txBody>
    </xdr:sp>
    <xdr:clientData/>
  </xdr:twoCellAnchor>
  <xdr:twoCellAnchor>
    <xdr:from>
      <xdr:col>5</xdr:col>
      <xdr:colOff>312514</xdr:colOff>
      <xdr:row>95</xdr:row>
      <xdr:rowOff>189801</xdr:rowOff>
    </xdr:from>
    <xdr:to>
      <xdr:col>14</xdr:col>
      <xdr:colOff>59534</xdr:colOff>
      <xdr:row>100</xdr:row>
      <xdr:rowOff>81244</xdr:rowOff>
    </xdr:to>
    <xdr:sp macro="" textlink="">
      <xdr:nvSpPr>
        <xdr:cNvPr id="140" name="TextBox 139">
          <a:extLst>
            <a:ext uri="{FF2B5EF4-FFF2-40B4-BE49-F238E27FC236}">
              <a16:creationId xmlns:a16="http://schemas.microsoft.com/office/drawing/2014/main" id="{00000000-0008-0000-0400-00008C000000}"/>
            </a:ext>
          </a:extLst>
        </xdr:cNvPr>
        <xdr:cNvSpPr txBox="1"/>
      </xdr:nvSpPr>
      <xdr:spPr>
        <a:xfrm>
          <a:off x="3348608" y="21597239"/>
          <a:ext cx="5211989" cy="843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lang="en-US" sz="1800" b="1" u="none"/>
            <a:t>2.2 - Daily Bicycle Access Ridership Increase by Investment</a:t>
          </a:r>
        </a:p>
      </xdr:txBody>
    </xdr:sp>
    <xdr:clientData/>
  </xdr:twoCellAnchor>
  <xdr:twoCellAnchor>
    <xdr:from>
      <xdr:col>0</xdr:col>
      <xdr:colOff>166687</xdr:colOff>
      <xdr:row>68</xdr:row>
      <xdr:rowOff>59533</xdr:rowOff>
    </xdr:from>
    <xdr:to>
      <xdr:col>18</xdr:col>
      <xdr:colOff>321469</xdr:colOff>
      <xdr:row>72</xdr:row>
      <xdr:rowOff>345281</xdr:rowOff>
    </xdr:to>
    <xdr:sp macro="" textlink="">
      <xdr:nvSpPr>
        <xdr:cNvPr id="155" name="TextBox 154">
          <a:extLst>
            <a:ext uri="{FF2B5EF4-FFF2-40B4-BE49-F238E27FC236}">
              <a16:creationId xmlns:a16="http://schemas.microsoft.com/office/drawing/2014/main" id="{00000000-0008-0000-0400-00009B000000}"/>
            </a:ext>
          </a:extLst>
        </xdr:cNvPr>
        <xdr:cNvSpPr txBox="1"/>
      </xdr:nvSpPr>
      <xdr:spPr>
        <a:xfrm>
          <a:off x="166687" y="16132971"/>
          <a:ext cx="11084720" cy="1047748"/>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500" b="1" i="1">
              <a:solidFill>
                <a:schemeClr val="dk1"/>
              </a:solidFill>
              <a:latin typeface="Arial" pitchFamily="34" charset="0"/>
              <a:ea typeface="+mn-ea"/>
              <a:cs typeface="Arial" pitchFamily="34" charset="0"/>
            </a:rPr>
            <a:t>2.1 - Daily Bicycle Access Ridership Increase</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1" i="1">
            <a:solidFill>
              <a:schemeClr val="dk1"/>
            </a:solidFill>
            <a:latin typeface="Arial" pitchFamily="34" charset="0"/>
            <a:ea typeface="+mn-ea"/>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1">
              <a:solidFill>
                <a:schemeClr val="dk1"/>
              </a:solidFill>
              <a:latin typeface="Arial" pitchFamily="34" charset="0"/>
              <a:ea typeface="+mn-ea"/>
              <a:cs typeface="Arial" pitchFamily="34" charset="0"/>
            </a:rPr>
            <a:t>Estimates</a:t>
          </a:r>
          <a:r>
            <a:rPr lang="en-US" sz="1300" b="1" i="1" baseline="0">
              <a:solidFill>
                <a:schemeClr val="dk1"/>
              </a:solidFill>
              <a:latin typeface="Arial" pitchFamily="34" charset="0"/>
              <a:ea typeface="+mn-ea"/>
              <a:cs typeface="Arial" pitchFamily="34" charset="0"/>
            </a:rPr>
            <a:t> of </a:t>
          </a:r>
          <a:r>
            <a:rPr lang="en-US" sz="1300" b="1" i="1">
              <a:solidFill>
                <a:schemeClr val="dk1"/>
              </a:solidFill>
              <a:latin typeface="Arial" pitchFamily="34" charset="0"/>
              <a:ea typeface="+mn-ea"/>
              <a:cs typeface="Arial" pitchFamily="34" charset="0"/>
            </a:rPr>
            <a:t>Park and Ride (those parking their bikes at the station before riding) and Board with Bike ridership</a:t>
          </a:r>
          <a:r>
            <a:rPr lang="en-US" sz="1300" b="1" i="1" baseline="0">
              <a:solidFill>
                <a:schemeClr val="dk1"/>
              </a:solidFill>
              <a:latin typeface="Arial" pitchFamily="34" charset="0"/>
              <a:ea typeface="+mn-ea"/>
              <a:cs typeface="Arial" pitchFamily="34" charset="0"/>
            </a:rPr>
            <a:t> for the pre-investment and scenario conditions.</a:t>
          </a:r>
          <a:endParaRPr lang="en-US" sz="1300" b="1" i="1">
            <a:latin typeface="Arial" pitchFamily="34" charset="0"/>
            <a:cs typeface="Arial" pitchFamily="34" charset="0"/>
          </a:endParaRPr>
        </a:p>
      </xdr:txBody>
    </xdr:sp>
    <xdr:clientData/>
  </xdr:twoCellAnchor>
  <xdr:twoCellAnchor>
    <xdr:from>
      <xdr:col>0</xdr:col>
      <xdr:colOff>190500</xdr:colOff>
      <xdr:row>93</xdr:row>
      <xdr:rowOff>28573</xdr:rowOff>
    </xdr:from>
    <xdr:to>
      <xdr:col>18</xdr:col>
      <xdr:colOff>369093</xdr:colOff>
      <xdr:row>95</xdr:row>
      <xdr:rowOff>167526</xdr:rowOff>
    </xdr:to>
    <xdr:sp macro="" textlink="">
      <xdr:nvSpPr>
        <xdr:cNvPr id="156" name="TextBox 155">
          <a:extLst>
            <a:ext uri="{FF2B5EF4-FFF2-40B4-BE49-F238E27FC236}">
              <a16:creationId xmlns:a16="http://schemas.microsoft.com/office/drawing/2014/main" id="{00000000-0008-0000-0400-00009C000000}"/>
            </a:ext>
          </a:extLst>
        </xdr:cNvPr>
        <xdr:cNvSpPr txBox="1"/>
      </xdr:nvSpPr>
      <xdr:spPr>
        <a:xfrm>
          <a:off x="190500" y="22037673"/>
          <a:ext cx="11151393" cy="431053"/>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500" b="1" i="1">
              <a:solidFill>
                <a:schemeClr val="dk1"/>
              </a:solidFill>
              <a:latin typeface="Arial" pitchFamily="34" charset="0"/>
              <a:ea typeface="+mn-ea"/>
              <a:cs typeface="Arial" pitchFamily="34" charset="0"/>
            </a:rPr>
            <a:t>2.2 - Daily Bicycle</a:t>
          </a:r>
          <a:r>
            <a:rPr lang="en-US" sz="1500" b="1" i="1" baseline="0">
              <a:solidFill>
                <a:schemeClr val="dk1"/>
              </a:solidFill>
              <a:latin typeface="Arial" pitchFamily="34" charset="0"/>
              <a:ea typeface="+mn-ea"/>
              <a:cs typeface="Arial" pitchFamily="34" charset="0"/>
            </a:rPr>
            <a:t> Access Ridership Increase by Investment</a:t>
          </a:r>
          <a:endParaRPr lang="en-US" sz="1500" b="1" i="1">
            <a:latin typeface="Arial" pitchFamily="34" charset="0"/>
            <a:cs typeface="Arial" pitchFamily="34" charset="0"/>
          </a:endParaRPr>
        </a:p>
      </xdr:txBody>
    </xdr:sp>
    <xdr:clientData/>
  </xdr:twoCellAnchor>
  <xdr:twoCellAnchor>
    <xdr:from>
      <xdr:col>0</xdr:col>
      <xdr:colOff>583406</xdr:colOff>
      <xdr:row>123</xdr:row>
      <xdr:rowOff>154781</xdr:rowOff>
    </xdr:from>
    <xdr:to>
      <xdr:col>10</xdr:col>
      <xdr:colOff>381000</xdr:colOff>
      <xdr:row>142</xdr:row>
      <xdr:rowOff>119062</xdr:rowOff>
    </xdr:to>
    <xdr:graphicFrame macro="">
      <xdr:nvGraphicFramePr>
        <xdr:cNvPr id="158" name="Chart 157">
          <a:extLst>
            <a:ext uri="{FF2B5EF4-FFF2-40B4-BE49-F238E27FC236}">
              <a16:creationId xmlns:a16="http://schemas.microsoft.com/office/drawing/2014/main" id="{00000000-0008-0000-0400-00009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285752</xdr:colOff>
      <xdr:row>120</xdr:row>
      <xdr:rowOff>95261</xdr:rowOff>
    </xdr:from>
    <xdr:to>
      <xdr:col>14</xdr:col>
      <xdr:colOff>32772</xdr:colOff>
      <xdr:row>125</xdr:row>
      <xdr:rowOff>35726</xdr:rowOff>
    </xdr:to>
    <xdr:sp macro="" textlink="">
      <xdr:nvSpPr>
        <xdr:cNvPr id="160" name="TextBox 159">
          <a:extLst>
            <a:ext uri="{FF2B5EF4-FFF2-40B4-BE49-F238E27FC236}">
              <a16:creationId xmlns:a16="http://schemas.microsoft.com/office/drawing/2014/main" id="{00000000-0008-0000-0400-0000A0000000}"/>
            </a:ext>
          </a:extLst>
        </xdr:cNvPr>
        <xdr:cNvSpPr txBox="1"/>
      </xdr:nvSpPr>
      <xdr:spPr>
        <a:xfrm>
          <a:off x="3321846" y="26289011"/>
          <a:ext cx="5211989" cy="892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lang="en-US" sz="1800" b="1" u="none"/>
            <a:t>2.3 - Bicycle Access</a:t>
          </a:r>
          <a:r>
            <a:rPr lang="en-US" sz="1800" b="1" u="none" baseline="0"/>
            <a:t> </a:t>
          </a:r>
          <a:r>
            <a:rPr lang="en-US" sz="1800" b="1" u="none"/>
            <a:t>Mode Share</a:t>
          </a:r>
        </a:p>
      </xdr:txBody>
    </xdr:sp>
    <xdr:clientData/>
  </xdr:twoCellAnchor>
  <xdr:twoCellAnchor>
    <xdr:from>
      <xdr:col>0</xdr:col>
      <xdr:colOff>130968</xdr:colOff>
      <xdr:row>118</xdr:row>
      <xdr:rowOff>95257</xdr:rowOff>
    </xdr:from>
    <xdr:to>
      <xdr:col>18</xdr:col>
      <xdr:colOff>357187</xdr:colOff>
      <xdr:row>121</xdr:row>
      <xdr:rowOff>5610</xdr:rowOff>
    </xdr:to>
    <xdr:sp macro="" textlink="">
      <xdr:nvSpPr>
        <xdr:cNvPr id="161" name="TextBox 160">
          <a:extLst>
            <a:ext uri="{FF2B5EF4-FFF2-40B4-BE49-F238E27FC236}">
              <a16:creationId xmlns:a16="http://schemas.microsoft.com/office/drawing/2014/main" id="{00000000-0008-0000-0400-0000A1000000}"/>
            </a:ext>
          </a:extLst>
        </xdr:cNvPr>
        <xdr:cNvSpPr txBox="1"/>
      </xdr:nvSpPr>
      <xdr:spPr>
        <a:xfrm>
          <a:off x="130968" y="24526882"/>
          <a:ext cx="11156157" cy="481853"/>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500" b="1" i="1">
              <a:solidFill>
                <a:schemeClr val="dk1"/>
              </a:solidFill>
              <a:latin typeface="Arial" pitchFamily="34" charset="0"/>
              <a:ea typeface="+mn-ea"/>
              <a:cs typeface="Arial" pitchFamily="34" charset="0"/>
            </a:rPr>
            <a:t>2.3 - Bicycle Access Mode Share</a:t>
          </a:r>
          <a:endParaRPr lang="en-US" sz="1500" b="1" i="1">
            <a:latin typeface="Arial" pitchFamily="34" charset="0"/>
            <a:cs typeface="Arial" pitchFamily="34" charset="0"/>
          </a:endParaRPr>
        </a:p>
      </xdr:txBody>
    </xdr:sp>
    <xdr:clientData/>
  </xdr:twoCellAnchor>
  <xdr:twoCellAnchor editAs="oneCell">
    <xdr:from>
      <xdr:col>5</xdr:col>
      <xdr:colOff>21815</xdr:colOff>
      <xdr:row>1</xdr:row>
      <xdr:rowOff>23812</xdr:rowOff>
    </xdr:from>
    <xdr:to>
      <xdr:col>5</xdr:col>
      <xdr:colOff>571967</xdr:colOff>
      <xdr:row>2</xdr:row>
      <xdr:rowOff>180694</xdr:rowOff>
    </xdr:to>
    <xdr:pic>
      <xdr:nvPicPr>
        <xdr:cNvPr id="173" name="Picture 172" descr="C:\Users\thenry\Desktop\500px-Bart-logo.svg_.png">
          <a:extLst>
            <a:ext uri="{FF2B5EF4-FFF2-40B4-BE49-F238E27FC236}">
              <a16:creationId xmlns:a16="http://schemas.microsoft.com/office/drawing/2014/main" id="{00000000-0008-0000-0400-0000AD000000}"/>
            </a:ext>
          </a:extLst>
        </xdr:cNvPr>
        <xdr:cNvPicPr/>
      </xdr:nvPicPr>
      <xdr:blipFill>
        <a:blip xmlns:r="http://schemas.openxmlformats.org/officeDocument/2006/relationships" r:embed="rId8" cstate="print"/>
        <a:stretch>
          <a:fillRect/>
        </a:stretch>
      </xdr:blipFill>
      <xdr:spPr bwMode="auto">
        <a:xfrm>
          <a:off x="3057909" y="83343"/>
          <a:ext cx="550152" cy="347382"/>
        </a:xfrm>
        <a:prstGeom prst="rect">
          <a:avLst/>
        </a:prstGeom>
        <a:noFill/>
        <a:ln w="9525">
          <a:noFill/>
          <a:miter lim="800000"/>
          <a:headEnd/>
          <a:tailEnd/>
        </a:ln>
      </xdr:spPr>
    </xdr:pic>
    <xdr:clientData/>
  </xdr:twoCellAnchor>
  <xdr:twoCellAnchor>
    <xdr:from>
      <xdr:col>12</xdr:col>
      <xdr:colOff>83348</xdr:colOff>
      <xdr:row>79</xdr:row>
      <xdr:rowOff>238122</xdr:rowOff>
    </xdr:from>
    <xdr:to>
      <xdr:col>17</xdr:col>
      <xdr:colOff>571499</xdr:colOff>
      <xdr:row>88</xdr:row>
      <xdr:rowOff>36016</xdr:rowOff>
    </xdr:to>
    <xdr:grpSp>
      <xdr:nvGrpSpPr>
        <xdr:cNvPr id="193" name="Group 192">
          <a:extLst>
            <a:ext uri="{FF2B5EF4-FFF2-40B4-BE49-F238E27FC236}">
              <a16:creationId xmlns:a16="http://schemas.microsoft.com/office/drawing/2014/main" id="{00000000-0008-0000-0400-0000C1000000}"/>
            </a:ext>
          </a:extLst>
        </xdr:cNvPr>
        <xdr:cNvGrpSpPr/>
      </xdr:nvGrpSpPr>
      <xdr:grpSpPr>
        <a:xfrm>
          <a:off x="7431205" y="20022908"/>
          <a:ext cx="3549758" cy="1757322"/>
          <a:chOff x="7369974" y="18597560"/>
          <a:chExt cx="2686154" cy="1750519"/>
        </a:xfrm>
      </xdr:grpSpPr>
      <xdr:sp macro="" textlink="">
        <xdr:nvSpPr>
          <xdr:cNvPr id="132" name="TextBox 131">
            <a:extLst>
              <a:ext uri="{FF2B5EF4-FFF2-40B4-BE49-F238E27FC236}">
                <a16:creationId xmlns:a16="http://schemas.microsoft.com/office/drawing/2014/main" id="{00000000-0008-0000-0400-000084000000}"/>
              </a:ext>
            </a:extLst>
          </xdr:cNvPr>
          <xdr:cNvSpPr txBox="1"/>
        </xdr:nvSpPr>
        <xdr:spPr>
          <a:xfrm>
            <a:off x="7369974" y="19096646"/>
            <a:ext cx="913048" cy="2469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Park</a:t>
            </a:r>
            <a:r>
              <a:rPr lang="en-US" sz="1400" baseline="0"/>
              <a:t> and Ride</a:t>
            </a:r>
            <a:endParaRPr lang="en-US" sz="1400"/>
          </a:p>
        </xdr:txBody>
      </xdr:sp>
      <xdr:sp macro="" textlink="">
        <xdr:nvSpPr>
          <xdr:cNvPr id="133" name="TextBox 132">
            <a:extLst>
              <a:ext uri="{FF2B5EF4-FFF2-40B4-BE49-F238E27FC236}">
                <a16:creationId xmlns:a16="http://schemas.microsoft.com/office/drawing/2014/main" id="{00000000-0008-0000-0400-000085000000}"/>
              </a:ext>
            </a:extLst>
          </xdr:cNvPr>
          <xdr:cNvSpPr txBox="1"/>
        </xdr:nvSpPr>
        <xdr:spPr>
          <a:xfrm>
            <a:off x="7369974" y="19625884"/>
            <a:ext cx="970637" cy="274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Board with Bike</a:t>
            </a:r>
          </a:p>
        </xdr:txBody>
      </xdr:sp>
      <xdr:sp macro="" textlink="">
        <xdr:nvSpPr>
          <xdr:cNvPr id="134" name="TextBox 133">
            <a:extLst>
              <a:ext uri="{FF2B5EF4-FFF2-40B4-BE49-F238E27FC236}">
                <a16:creationId xmlns:a16="http://schemas.microsoft.com/office/drawing/2014/main" id="{00000000-0008-0000-0400-000086000000}"/>
              </a:ext>
            </a:extLst>
          </xdr:cNvPr>
          <xdr:cNvSpPr txBox="1"/>
        </xdr:nvSpPr>
        <xdr:spPr>
          <a:xfrm>
            <a:off x="8646285" y="18597560"/>
            <a:ext cx="669569" cy="309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b="1"/>
              <a:t>Pre-invest.</a:t>
            </a:r>
            <a:endParaRPr lang="en-US" sz="1400" b="1" baseline="0"/>
          </a:p>
        </xdr:txBody>
      </xdr:sp>
      <xdr:sp macro="" textlink="">
        <xdr:nvSpPr>
          <xdr:cNvPr id="135" name="TextBox 134">
            <a:extLst>
              <a:ext uri="{FF2B5EF4-FFF2-40B4-BE49-F238E27FC236}">
                <a16:creationId xmlns:a16="http://schemas.microsoft.com/office/drawing/2014/main" id="{00000000-0008-0000-0400-000087000000}"/>
              </a:ext>
            </a:extLst>
          </xdr:cNvPr>
          <xdr:cNvSpPr txBox="1"/>
        </xdr:nvSpPr>
        <xdr:spPr>
          <a:xfrm>
            <a:off x="9373240" y="18597560"/>
            <a:ext cx="682888" cy="297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b="1"/>
              <a:t>Scenario</a:t>
            </a:r>
            <a:endParaRPr lang="en-US" sz="1400" b="1" baseline="0"/>
          </a:p>
        </xdr:txBody>
      </xdr:sp>
      <xdr:sp macro="" textlink="$AC$61">
        <xdr:nvSpPr>
          <xdr:cNvPr id="136" name="TextBox 135">
            <a:extLst>
              <a:ext uri="{FF2B5EF4-FFF2-40B4-BE49-F238E27FC236}">
                <a16:creationId xmlns:a16="http://schemas.microsoft.com/office/drawing/2014/main" id="{00000000-0008-0000-0400-000088000000}"/>
              </a:ext>
            </a:extLst>
          </xdr:cNvPr>
          <xdr:cNvSpPr txBox="1"/>
        </xdr:nvSpPr>
        <xdr:spPr>
          <a:xfrm>
            <a:off x="8793011" y="19083129"/>
            <a:ext cx="257056"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88A0E4F5-E968-46EB-AECE-E6A3227EA6D7}" type="TxLink">
              <a:rPr lang="en-US" sz="1400" b="0" i="0" u="none" strike="noStrike">
                <a:solidFill>
                  <a:srgbClr val="000000"/>
                </a:solidFill>
                <a:latin typeface="+mn-lt"/>
                <a:cs typeface="Calibri"/>
              </a:rPr>
              <a:pPr/>
              <a:t>44</a:t>
            </a:fld>
            <a:endParaRPr lang="en-US" sz="1400">
              <a:latin typeface="+mn-lt"/>
            </a:endParaRPr>
          </a:p>
        </xdr:txBody>
      </xdr:sp>
      <xdr:sp macro="" textlink="$AE$61">
        <xdr:nvSpPr>
          <xdr:cNvPr id="137" name="TextBox 136">
            <a:extLst>
              <a:ext uri="{FF2B5EF4-FFF2-40B4-BE49-F238E27FC236}">
                <a16:creationId xmlns:a16="http://schemas.microsoft.com/office/drawing/2014/main" id="{00000000-0008-0000-0400-000089000000}"/>
              </a:ext>
            </a:extLst>
          </xdr:cNvPr>
          <xdr:cNvSpPr txBox="1"/>
        </xdr:nvSpPr>
        <xdr:spPr>
          <a:xfrm>
            <a:off x="9490908" y="19083129"/>
            <a:ext cx="257056"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18B6F7FD-EBD6-4343-B560-6561A841B23E}" type="TxLink">
              <a:rPr lang="en-US" sz="1400" b="0" i="0" u="none" strike="noStrike">
                <a:solidFill>
                  <a:srgbClr val="000000"/>
                </a:solidFill>
                <a:latin typeface="+mn-lt"/>
                <a:cs typeface="Calibri"/>
              </a:rPr>
              <a:pPr/>
              <a:t>199</a:t>
            </a:fld>
            <a:endParaRPr lang="en-US" sz="1400">
              <a:latin typeface="+mn-lt"/>
            </a:endParaRPr>
          </a:p>
        </xdr:txBody>
      </xdr:sp>
      <xdr:sp macro="" textlink="$AC$62">
        <xdr:nvSpPr>
          <xdr:cNvPr id="138" name="TextBox 137">
            <a:extLst>
              <a:ext uri="{FF2B5EF4-FFF2-40B4-BE49-F238E27FC236}">
                <a16:creationId xmlns:a16="http://schemas.microsoft.com/office/drawing/2014/main" id="{00000000-0008-0000-0400-00008A000000}"/>
              </a:ext>
            </a:extLst>
          </xdr:cNvPr>
          <xdr:cNvSpPr txBox="1"/>
        </xdr:nvSpPr>
        <xdr:spPr>
          <a:xfrm>
            <a:off x="8792857" y="19625945"/>
            <a:ext cx="328801"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B6D32B85-496F-4473-8F11-9CCDBD64AA18}" type="TxLink">
              <a:rPr lang="en-US" sz="1400" b="0" i="0" u="none" strike="noStrike">
                <a:solidFill>
                  <a:srgbClr val="000000"/>
                </a:solidFill>
                <a:latin typeface="+mn-lt"/>
                <a:cs typeface="Calibri"/>
              </a:rPr>
              <a:pPr/>
              <a:t>181</a:t>
            </a:fld>
            <a:endParaRPr lang="en-US" sz="1400">
              <a:latin typeface="+mn-lt"/>
            </a:endParaRPr>
          </a:p>
        </xdr:txBody>
      </xdr:sp>
      <xdr:sp macro="" textlink="$AE$62">
        <xdr:nvSpPr>
          <xdr:cNvPr id="139" name="TextBox 138">
            <a:extLst>
              <a:ext uri="{FF2B5EF4-FFF2-40B4-BE49-F238E27FC236}">
                <a16:creationId xmlns:a16="http://schemas.microsoft.com/office/drawing/2014/main" id="{00000000-0008-0000-0400-00008B000000}"/>
              </a:ext>
            </a:extLst>
          </xdr:cNvPr>
          <xdr:cNvSpPr txBox="1"/>
        </xdr:nvSpPr>
        <xdr:spPr>
          <a:xfrm>
            <a:off x="9490754" y="19625945"/>
            <a:ext cx="328801"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BD3EFD3E-7A91-48A3-8090-59FA4A8A363A}" type="TxLink">
              <a:rPr lang="en-US" sz="1400" b="0" i="0" u="none" strike="noStrike">
                <a:solidFill>
                  <a:srgbClr val="000000"/>
                </a:solidFill>
                <a:latin typeface="+mn-lt"/>
                <a:cs typeface="Calibri"/>
              </a:rPr>
              <a:pPr/>
              <a:t>456</a:t>
            </a:fld>
            <a:endParaRPr lang="en-US" sz="1400">
              <a:latin typeface="+mn-lt"/>
            </a:endParaRPr>
          </a:p>
        </xdr:txBody>
      </xdr:sp>
      <xdr:sp macro="" textlink="">
        <xdr:nvSpPr>
          <xdr:cNvPr id="157" name="TextBox 156">
            <a:extLst>
              <a:ext uri="{FF2B5EF4-FFF2-40B4-BE49-F238E27FC236}">
                <a16:creationId xmlns:a16="http://schemas.microsoft.com/office/drawing/2014/main" id="{00000000-0008-0000-0400-00009D000000}"/>
              </a:ext>
            </a:extLst>
          </xdr:cNvPr>
          <xdr:cNvSpPr txBox="1"/>
        </xdr:nvSpPr>
        <xdr:spPr>
          <a:xfrm>
            <a:off x="7370069" y="20073939"/>
            <a:ext cx="970637" cy="274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Total</a:t>
            </a:r>
            <a:r>
              <a:rPr lang="en-US" sz="1400" baseline="0"/>
              <a:t> Bike Access</a:t>
            </a:r>
            <a:endParaRPr lang="en-US" sz="1400"/>
          </a:p>
        </xdr:txBody>
      </xdr:sp>
      <xdr:sp macro="" textlink="$AC$63">
        <xdr:nvSpPr>
          <xdr:cNvPr id="180" name="TextBox 179">
            <a:extLst>
              <a:ext uri="{FF2B5EF4-FFF2-40B4-BE49-F238E27FC236}">
                <a16:creationId xmlns:a16="http://schemas.microsoft.com/office/drawing/2014/main" id="{00000000-0008-0000-0400-0000B4000000}"/>
              </a:ext>
            </a:extLst>
          </xdr:cNvPr>
          <xdr:cNvSpPr txBox="1"/>
        </xdr:nvSpPr>
        <xdr:spPr>
          <a:xfrm>
            <a:off x="8792952" y="20074000"/>
            <a:ext cx="328801"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CBB707C9-3687-4112-A2C8-C1C9F0EB9C2B}" type="TxLink">
              <a:rPr lang="en-US" sz="1400" b="0" i="0" u="none" strike="noStrike">
                <a:solidFill>
                  <a:srgbClr val="000000"/>
                </a:solidFill>
                <a:latin typeface="+mn-lt"/>
                <a:cs typeface="Arial"/>
              </a:rPr>
              <a:pPr/>
              <a:t>225</a:t>
            </a:fld>
            <a:endParaRPr lang="en-US" sz="1400">
              <a:latin typeface="+mn-lt"/>
            </a:endParaRPr>
          </a:p>
        </xdr:txBody>
      </xdr:sp>
      <xdr:sp macro="" textlink="$AE$63">
        <xdr:nvSpPr>
          <xdr:cNvPr id="181" name="TextBox 180">
            <a:extLst>
              <a:ext uri="{FF2B5EF4-FFF2-40B4-BE49-F238E27FC236}">
                <a16:creationId xmlns:a16="http://schemas.microsoft.com/office/drawing/2014/main" id="{00000000-0008-0000-0400-0000B5000000}"/>
              </a:ext>
            </a:extLst>
          </xdr:cNvPr>
          <xdr:cNvSpPr txBox="1"/>
        </xdr:nvSpPr>
        <xdr:spPr>
          <a:xfrm>
            <a:off x="9490849" y="20074000"/>
            <a:ext cx="328801"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B0D93A7E-9112-40EF-BAB1-621822970313}" type="TxLink">
              <a:rPr lang="en-US" sz="1400" b="0" i="0" u="none" strike="noStrike">
                <a:solidFill>
                  <a:srgbClr val="000000"/>
                </a:solidFill>
                <a:latin typeface="+mn-lt"/>
                <a:cs typeface="Arial"/>
              </a:rPr>
              <a:pPr/>
              <a:t>656</a:t>
            </a:fld>
            <a:endParaRPr lang="en-US" sz="1400">
              <a:latin typeface="+mn-lt"/>
            </a:endParaRPr>
          </a:p>
        </xdr:txBody>
      </xdr:sp>
    </xdr:grpSp>
    <xdr:clientData/>
  </xdr:twoCellAnchor>
  <xdr:twoCellAnchor>
    <xdr:from>
      <xdr:col>10</xdr:col>
      <xdr:colOff>476264</xdr:colOff>
      <xdr:row>128</xdr:row>
      <xdr:rowOff>119063</xdr:rowOff>
    </xdr:from>
    <xdr:to>
      <xdr:col>18</xdr:col>
      <xdr:colOff>95250</xdr:colOff>
      <xdr:row>138</xdr:row>
      <xdr:rowOff>56413</xdr:rowOff>
    </xdr:to>
    <xdr:grpSp>
      <xdr:nvGrpSpPr>
        <xdr:cNvPr id="195" name="Group 194">
          <a:extLst>
            <a:ext uri="{FF2B5EF4-FFF2-40B4-BE49-F238E27FC236}">
              <a16:creationId xmlns:a16="http://schemas.microsoft.com/office/drawing/2014/main" id="{00000000-0008-0000-0400-0000C3000000}"/>
            </a:ext>
          </a:extLst>
        </xdr:cNvPr>
        <xdr:cNvGrpSpPr/>
      </xdr:nvGrpSpPr>
      <xdr:grpSpPr>
        <a:xfrm>
          <a:off x="6599478" y="29347206"/>
          <a:ext cx="4517558" cy="1842350"/>
          <a:chOff x="6548452" y="28277344"/>
          <a:chExt cx="3730887" cy="1842350"/>
        </a:xfrm>
      </xdr:grpSpPr>
      <xdr:sp macro="" textlink="">
        <xdr:nvSpPr>
          <xdr:cNvPr id="162" name="TextBox 161">
            <a:extLst>
              <a:ext uri="{FF2B5EF4-FFF2-40B4-BE49-F238E27FC236}">
                <a16:creationId xmlns:a16="http://schemas.microsoft.com/office/drawing/2014/main" id="{00000000-0008-0000-0400-0000A2000000}"/>
              </a:ext>
            </a:extLst>
          </xdr:cNvPr>
          <xdr:cNvSpPr txBox="1"/>
        </xdr:nvSpPr>
        <xdr:spPr>
          <a:xfrm>
            <a:off x="6548452" y="28620846"/>
            <a:ext cx="913048" cy="478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Total Station</a:t>
            </a:r>
          </a:p>
          <a:p>
            <a:r>
              <a:rPr lang="en-US" sz="1400"/>
              <a:t>Ridership</a:t>
            </a:r>
          </a:p>
        </xdr:txBody>
      </xdr:sp>
      <xdr:sp macro="" textlink="">
        <xdr:nvSpPr>
          <xdr:cNvPr id="163" name="TextBox 162">
            <a:extLst>
              <a:ext uri="{FF2B5EF4-FFF2-40B4-BE49-F238E27FC236}">
                <a16:creationId xmlns:a16="http://schemas.microsoft.com/office/drawing/2014/main" id="{00000000-0008-0000-0400-0000A3000000}"/>
              </a:ext>
            </a:extLst>
          </xdr:cNvPr>
          <xdr:cNvSpPr txBox="1"/>
        </xdr:nvSpPr>
        <xdr:spPr>
          <a:xfrm>
            <a:off x="6548452" y="29189003"/>
            <a:ext cx="970637" cy="552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Bike Access </a:t>
            </a:r>
          </a:p>
          <a:p>
            <a:r>
              <a:rPr lang="en-US" sz="1400"/>
              <a:t>Ridership</a:t>
            </a:r>
          </a:p>
        </xdr:txBody>
      </xdr:sp>
      <xdr:sp macro="" textlink="">
        <xdr:nvSpPr>
          <xdr:cNvPr id="164" name="TextBox 163">
            <a:extLst>
              <a:ext uri="{FF2B5EF4-FFF2-40B4-BE49-F238E27FC236}">
                <a16:creationId xmlns:a16="http://schemas.microsoft.com/office/drawing/2014/main" id="{00000000-0008-0000-0400-0000A4000000}"/>
              </a:ext>
            </a:extLst>
          </xdr:cNvPr>
          <xdr:cNvSpPr txBox="1"/>
        </xdr:nvSpPr>
        <xdr:spPr>
          <a:xfrm>
            <a:off x="6548452" y="29757162"/>
            <a:ext cx="1003710" cy="362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Mode Share</a:t>
            </a:r>
          </a:p>
        </xdr:txBody>
      </xdr:sp>
      <xdr:sp macro="" textlink="">
        <xdr:nvSpPr>
          <xdr:cNvPr id="165" name="TextBox 164">
            <a:extLst>
              <a:ext uri="{FF2B5EF4-FFF2-40B4-BE49-F238E27FC236}">
                <a16:creationId xmlns:a16="http://schemas.microsoft.com/office/drawing/2014/main" id="{00000000-0008-0000-0400-0000A5000000}"/>
              </a:ext>
            </a:extLst>
          </xdr:cNvPr>
          <xdr:cNvSpPr txBox="1"/>
        </xdr:nvSpPr>
        <xdr:spPr>
          <a:xfrm>
            <a:off x="7622361" y="28277344"/>
            <a:ext cx="66956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b="1"/>
              <a:t>Pre-Invest.</a:t>
            </a:r>
          </a:p>
        </xdr:txBody>
      </xdr:sp>
      <xdr:sp macro="" textlink="">
        <xdr:nvSpPr>
          <xdr:cNvPr id="166" name="TextBox 165">
            <a:extLst>
              <a:ext uri="{FF2B5EF4-FFF2-40B4-BE49-F238E27FC236}">
                <a16:creationId xmlns:a16="http://schemas.microsoft.com/office/drawing/2014/main" id="{00000000-0008-0000-0400-0000A6000000}"/>
              </a:ext>
            </a:extLst>
          </xdr:cNvPr>
          <xdr:cNvSpPr txBox="1"/>
        </xdr:nvSpPr>
        <xdr:spPr>
          <a:xfrm>
            <a:off x="8361222" y="28277344"/>
            <a:ext cx="682888"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b="1"/>
              <a:t>Scenario</a:t>
            </a:r>
          </a:p>
        </xdr:txBody>
      </xdr:sp>
      <xdr:sp macro="" textlink="$AC$79">
        <xdr:nvSpPr>
          <xdr:cNvPr id="167" name="TextBox 166">
            <a:extLst>
              <a:ext uri="{FF2B5EF4-FFF2-40B4-BE49-F238E27FC236}">
                <a16:creationId xmlns:a16="http://schemas.microsoft.com/office/drawing/2014/main" id="{00000000-0008-0000-0400-0000A7000000}"/>
              </a:ext>
            </a:extLst>
          </xdr:cNvPr>
          <xdr:cNvSpPr txBox="1"/>
        </xdr:nvSpPr>
        <xdr:spPr>
          <a:xfrm>
            <a:off x="7721463" y="28720656"/>
            <a:ext cx="257056"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45CF0A92-A0CC-40B2-9BB6-B160F1FB42B6}" type="TxLink">
              <a:rPr lang="en-US" sz="1400" b="0" i="0" u="none" strike="noStrike">
                <a:solidFill>
                  <a:srgbClr val="000000"/>
                </a:solidFill>
                <a:latin typeface="+mn-lt"/>
                <a:cs typeface="Calibri"/>
              </a:rPr>
              <a:pPr/>
              <a:t>6,600</a:t>
            </a:fld>
            <a:endParaRPr lang="en-US" sz="1400">
              <a:latin typeface="+mn-lt"/>
            </a:endParaRPr>
          </a:p>
        </xdr:txBody>
      </xdr:sp>
      <xdr:sp macro="" textlink="$AD$79">
        <xdr:nvSpPr>
          <xdr:cNvPr id="168" name="TextBox 167">
            <a:extLst>
              <a:ext uri="{FF2B5EF4-FFF2-40B4-BE49-F238E27FC236}">
                <a16:creationId xmlns:a16="http://schemas.microsoft.com/office/drawing/2014/main" id="{00000000-0008-0000-0400-0000A8000000}"/>
              </a:ext>
            </a:extLst>
          </xdr:cNvPr>
          <xdr:cNvSpPr txBox="1"/>
        </xdr:nvSpPr>
        <xdr:spPr>
          <a:xfrm>
            <a:off x="8427295" y="28720656"/>
            <a:ext cx="257056"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7FDCCD78-1839-4A9C-B297-DA043CC8107A}" type="TxLink">
              <a:rPr lang="en-US" sz="1400" b="0" i="0" u="none" strike="noStrike">
                <a:solidFill>
                  <a:srgbClr val="000000"/>
                </a:solidFill>
                <a:latin typeface="+mn-lt"/>
                <a:cs typeface="Calibri"/>
              </a:rPr>
              <a:pPr/>
              <a:t>7,031</a:t>
            </a:fld>
            <a:endParaRPr lang="en-US" sz="1400">
              <a:latin typeface="+mn-lt"/>
            </a:endParaRPr>
          </a:p>
        </xdr:txBody>
      </xdr:sp>
      <xdr:sp macro="" textlink="$AC$80">
        <xdr:nvSpPr>
          <xdr:cNvPr id="169" name="TextBox 168">
            <a:extLst>
              <a:ext uri="{FF2B5EF4-FFF2-40B4-BE49-F238E27FC236}">
                <a16:creationId xmlns:a16="http://schemas.microsoft.com/office/drawing/2014/main" id="{00000000-0008-0000-0400-0000A9000000}"/>
              </a:ext>
            </a:extLst>
          </xdr:cNvPr>
          <xdr:cNvSpPr txBox="1"/>
        </xdr:nvSpPr>
        <xdr:spPr>
          <a:xfrm>
            <a:off x="7757027" y="29279583"/>
            <a:ext cx="328801"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791A2B0E-FCD3-4B4B-AFB7-67698BC140BA}" type="TxLink">
              <a:rPr lang="en-US" sz="1400" b="0" i="0" u="none" strike="noStrike">
                <a:solidFill>
                  <a:srgbClr val="000000"/>
                </a:solidFill>
                <a:latin typeface="+mn-lt"/>
                <a:cs typeface="Calibri"/>
              </a:rPr>
              <a:pPr/>
              <a:t>225</a:t>
            </a:fld>
            <a:endParaRPr lang="en-US" sz="1400">
              <a:latin typeface="+mn-lt"/>
            </a:endParaRPr>
          </a:p>
        </xdr:txBody>
      </xdr:sp>
      <xdr:sp macro="" textlink="$AD$80">
        <xdr:nvSpPr>
          <xdr:cNvPr id="170" name="TextBox 169">
            <a:extLst>
              <a:ext uri="{FF2B5EF4-FFF2-40B4-BE49-F238E27FC236}">
                <a16:creationId xmlns:a16="http://schemas.microsoft.com/office/drawing/2014/main" id="{00000000-0008-0000-0400-0000AA000000}"/>
              </a:ext>
            </a:extLst>
          </xdr:cNvPr>
          <xdr:cNvSpPr txBox="1"/>
        </xdr:nvSpPr>
        <xdr:spPr>
          <a:xfrm>
            <a:off x="8431108" y="29279583"/>
            <a:ext cx="328801"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61C59251-3C88-4532-861C-532434292E6D}" type="TxLink">
              <a:rPr lang="en-US" sz="1400" b="0" i="0" u="none" strike="noStrike">
                <a:solidFill>
                  <a:srgbClr val="000000"/>
                </a:solidFill>
                <a:latin typeface="+mn-lt"/>
                <a:cs typeface="Calibri"/>
              </a:rPr>
              <a:pPr/>
              <a:t>656</a:t>
            </a:fld>
            <a:endParaRPr lang="en-US" sz="1400">
              <a:latin typeface="+mn-lt"/>
            </a:endParaRPr>
          </a:p>
        </xdr:txBody>
      </xdr:sp>
      <xdr:sp macro="" textlink="$AC$78">
        <xdr:nvSpPr>
          <xdr:cNvPr id="171" name="TextBox 170">
            <a:extLst>
              <a:ext uri="{FF2B5EF4-FFF2-40B4-BE49-F238E27FC236}">
                <a16:creationId xmlns:a16="http://schemas.microsoft.com/office/drawing/2014/main" id="{00000000-0008-0000-0400-0000AB000000}"/>
              </a:ext>
            </a:extLst>
          </xdr:cNvPr>
          <xdr:cNvSpPr txBox="1"/>
        </xdr:nvSpPr>
        <xdr:spPr>
          <a:xfrm>
            <a:off x="7737336" y="29773832"/>
            <a:ext cx="257056"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DC509CE2-FE0C-4A80-9CD9-2223325CB4C2}" type="TxLink">
              <a:rPr lang="en-US" sz="1400" b="0" i="0" u="none" strike="noStrike">
                <a:solidFill>
                  <a:srgbClr val="000000"/>
                </a:solidFill>
                <a:latin typeface="+mn-lt"/>
                <a:cs typeface="Calibri"/>
              </a:rPr>
              <a:pPr/>
              <a:t>3.4%</a:t>
            </a:fld>
            <a:endParaRPr lang="en-US" sz="1400">
              <a:latin typeface="+mn-lt"/>
            </a:endParaRPr>
          </a:p>
        </xdr:txBody>
      </xdr:sp>
      <xdr:sp macro="" textlink="$AD$78">
        <xdr:nvSpPr>
          <xdr:cNvPr id="172" name="TextBox 171">
            <a:extLst>
              <a:ext uri="{FF2B5EF4-FFF2-40B4-BE49-F238E27FC236}">
                <a16:creationId xmlns:a16="http://schemas.microsoft.com/office/drawing/2014/main" id="{00000000-0008-0000-0400-0000AC000000}"/>
              </a:ext>
            </a:extLst>
          </xdr:cNvPr>
          <xdr:cNvSpPr txBox="1"/>
        </xdr:nvSpPr>
        <xdr:spPr>
          <a:xfrm>
            <a:off x="8421340" y="29773832"/>
            <a:ext cx="257056"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5FC3DB2B-B875-4175-99C0-0E90DB357518}" type="TxLink">
              <a:rPr lang="en-US" sz="1400" b="0" i="0" u="none" strike="noStrike">
                <a:solidFill>
                  <a:srgbClr val="000000"/>
                </a:solidFill>
                <a:latin typeface="+mn-lt"/>
                <a:cs typeface="Calibri"/>
              </a:rPr>
              <a:pPr/>
              <a:t>9.3%</a:t>
            </a:fld>
            <a:endParaRPr lang="en-US" sz="1400">
              <a:latin typeface="+mn-lt"/>
            </a:endParaRPr>
          </a:p>
        </xdr:txBody>
      </xdr:sp>
      <xdr:sp macro="" textlink="">
        <xdr:nvSpPr>
          <xdr:cNvPr id="130" name="TextBox 129">
            <a:extLst>
              <a:ext uri="{FF2B5EF4-FFF2-40B4-BE49-F238E27FC236}">
                <a16:creationId xmlns:a16="http://schemas.microsoft.com/office/drawing/2014/main" id="{00000000-0008-0000-0400-000082000000}"/>
              </a:ext>
            </a:extLst>
          </xdr:cNvPr>
          <xdr:cNvSpPr txBox="1"/>
        </xdr:nvSpPr>
        <xdr:spPr>
          <a:xfrm>
            <a:off x="9048764" y="28277347"/>
            <a:ext cx="682888"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b="1"/>
              <a:t>Goal</a:t>
            </a:r>
          </a:p>
        </xdr:txBody>
      </xdr:sp>
      <xdr:sp macro="" textlink="$AE$78">
        <xdr:nvSpPr>
          <xdr:cNvPr id="154" name="TextBox 153">
            <a:extLst>
              <a:ext uri="{FF2B5EF4-FFF2-40B4-BE49-F238E27FC236}">
                <a16:creationId xmlns:a16="http://schemas.microsoft.com/office/drawing/2014/main" id="{00000000-0008-0000-0400-00009A000000}"/>
              </a:ext>
            </a:extLst>
          </xdr:cNvPr>
          <xdr:cNvSpPr txBox="1"/>
        </xdr:nvSpPr>
        <xdr:spPr>
          <a:xfrm>
            <a:off x="9049984" y="29773832"/>
            <a:ext cx="257056"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5434929A-A72E-4995-8FE7-B381F5F42274}" type="TxLink">
              <a:rPr lang="en-US" sz="1400" b="0" i="0" u="none" strike="noStrike">
                <a:solidFill>
                  <a:srgbClr val="000000"/>
                </a:solidFill>
                <a:latin typeface="+mn-lt"/>
                <a:cs typeface="Calibri"/>
              </a:rPr>
              <a:pPr/>
              <a:t>7.7%</a:t>
            </a:fld>
            <a:endParaRPr lang="en-US" sz="1400">
              <a:latin typeface="+mn-lt"/>
            </a:endParaRPr>
          </a:p>
        </xdr:txBody>
      </xdr:sp>
      <xdr:sp macro="" textlink="$AE$80">
        <xdr:nvSpPr>
          <xdr:cNvPr id="185" name="TextBox 184">
            <a:extLst>
              <a:ext uri="{FF2B5EF4-FFF2-40B4-BE49-F238E27FC236}">
                <a16:creationId xmlns:a16="http://schemas.microsoft.com/office/drawing/2014/main" id="{00000000-0008-0000-0400-0000B9000000}"/>
              </a:ext>
            </a:extLst>
          </xdr:cNvPr>
          <xdr:cNvSpPr txBox="1"/>
        </xdr:nvSpPr>
        <xdr:spPr>
          <a:xfrm>
            <a:off x="9082500" y="29277473"/>
            <a:ext cx="328801"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73C34EC5-20E6-492C-8CFC-A621059700E8}" type="TxLink">
              <a:rPr lang="en-US" sz="1400" b="0" i="0" u="none" strike="noStrike">
                <a:solidFill>
                  <a:srgbClr val="000000"/>
                </a:solidFill>
                <a:latin typeface="+mn-lt"/>
                <a:cs typeface="Calibri"/>
              </a:rPr>
              <a:pPr/>
              <a:t>528</a:t>
            </a:fld>
            <a:endParaRPr lang="en-US" sz="1400">
              <a:latin typeface="+mn-lt"/>
            </a:endParaRPr>
          </a:p>
        </xdr:txBody>
      </xdr:sp>
      <xdr:sp macro="" textlink="">
        <xdr:nvSpPr>
          <xdr:cNvPr id="186" name="TextBox 185">
            <a:extLst>
              <a:ext uri="{FF2B5EF4-FFF2-40B4-BE49-F238E27FC236}">
                <a16:creationId xmlns:a16="http://schemas.microsoft.com/office/drawing/2014/main" id="{00000000-0008-0000-0400-0000BA000000}"/>
              </a:ext>
            </a:extLst>
          </xdr:cNvPr>
          <xdr:cNvSpPr txBox="1"/>
        </xdr:nvSpPr>
        <xdr:spPr>
          <a:xfrm>
            <a:off x="9596451" y="28277347"/>
            <a:ext cx="682888" cy="309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b="1"/>
              <a:t>Max</a:t>
            </a:r>
          </a:p>
        </xdr:txBody>
      </xdr:sp>
      <xdr:sp macro="" textlink="$AE$79">
        <xdr:nvSpPr>
          <xdr:cNvPr id="187" name="TextBox 186">
            <a:extLst>
              <a:ext uri="{FF2B5EF4-FFF2-40B4-BE49-F238E27FC236}">
                <a16:creationId xmlns:a16="http://schemas.microsoft.com/office/drawing/2014/main" id="{00000000-0008-0000-0400-0000BB000000}"/>
              </a:ext>
            </a:extLst>
          </xdr:cNvPr>
          <xdr:cNvSpPr txBox="1"/>
        </xdr:nvSpPr>
        <xdr:spPr>
          <a:xfrm>
            <a:off x="9056705" y="28717879"/>
            <a:ext cx="257056"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EE557DBF-DE4D-49C5-B534-6EBBD900CC3E}" type="TxLink">
              <a:rPr lang="en-US" sz="1400" b="0" i="0" u="none" strike="noStrike">
                <a:solidFill>
                  <a:srgbClr val="000000"/>
                </a:solidFill>
                <a:latin typeface="+mn-lt"/>
                <a:cs typeface="Calibri"/>
              </a:rPr>
              <a:pPr/>
              <a:t>6,901</a:t>
            </a:fld>
            <a:endParaRPr lang="en-US" sz="1400">
              <a:latin typeface="+mn-lt"/>
            </a:endParaRPr>
          </a:p>
        </xdr:txBody>
      </xdr:sp>
      <xdr:sp macro="" textlink="$AF$78">
        <xdr:nvSpPr>
          <xdr:cNvPr id="188" name="TextBox 187">
            <a:extLst>
              <a:ext uri="{FF2B5EF4-FFF2-40B4-BE49-F238E27FC236}">
                <a16:creationId xmlns:a16="http://schemas.microsoft.com/office/drawing/2014/main" id="{00000000-0008-0000-0400-0000BC000000}"/>
              </a:ext>
            </a:extLst>
          </xdr:cNvPr>
          <xdr:cNvSpPr txBox="1"/>
        </xdr:nvSpPr>
        <xdr:spPr>
          <a:xfrm>
            <a:off x="9596604" y="29773839"/>
            <a:ext cx="257056"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3FEB8E56-B308-4F7E-B52C-B9E5549DEEEE}" type="TxLink">
              <a:rPr lang="en-US" sz="1400" b="0" i="0" u="none" strike="noStrike">
                <a:solidFill>
                  <a:srgbClr val="000000"/>
                </a:solidFill>
                <a:latin typeface="+mn-lt"/>
                <a:cs typeface="Calibri"/>
              </a:rPr>
              <a:pPr/>
              <a:t>14.3%</a:t>
            </a:fld>
            <a:endParaRPr lang="en-US" sz="1400">
              <a:latin typeface="+mn-lt"/>
            </a:endParaRPr>
          </a:p>
        </xdr:txBody>
      </xdr:sp>
      <xdr:sp macro="" textlink="$AF$80">
        <xdr:nvSpPr>
          <xdr:cNvPr id="189" name="TextBox 188">
            <a:extLst>
              <a:ext uri="{FF2B5EF4-FFF2-40B4-BE49-F238E27FC236}">
                <a16:creationId xmlns:a16="http://schemas.microsoft.com/office/drawing/2014/main" id="{00000000-0008-0000-0400-0000BD000000}"/>
              </a:ext>
            </a:extLst>
          </xdr:cNvPr>
          <xdr:cNvSpPr txBox="1"/>
        </xdr:nvSpPr>
        <xdr:spPr>
          <a:xfrm>
            <a:off x="9608356" y="29277480"/>
            <a:ext cx="328801"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90B977E4-7A88-47EA-B650-EFA6E32A3A67}" type="TxLink">
              <a:rPr lang="en-US" sz="1400" b="0" i="0" u="none" strike="noStrike">
                <a:solidFill>
                  <a:srgbClr val="000000"/>
                </a:solidFill>
                <a:latin typeface="+mn-lt"/>
                <a:cs typeface="Calibri"/>
              </a:rPr>
              <a:pPr/>
              <a:t>1,060</a:t>
            </a:fld>
            <a:endParaRPr lang="en-US" sz="1400">
              <a:latin typeface="+mn-lt"/>
            </a:endParaRPr>
          </a:p>
        </xdr:txBody>
      </xdr:sp>
      <xdr:sp macro="" textlink="$AF$79">
        <xdr:nvSpPr>
          <xdr:cNvPr id="190" name="TextBox 189">
            <a:extLst>
              <a:ext uri="{FF2B5EF4-FFF2-40B4-BE49-F238E27FC236}">
                <a16:creationId xmlns:a16="http://schemas.microsoft.com/office/drawing/2014/main" id="{00000000-0008-0000-0400-0000BE000000}"/>
              </a:ext>
            </a:extLst>
          </xdr:cNvPr>
          <xdr:cNvSpPr txBox="1"/>
        </xdr:nvSpPr>
        <xdr:spPr>
          <a:xfrm>
            <a:off x="9612482" y="28717886"/>
            <a:ext cx="257056" cy="274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AB358074-C95F-478F-950C-418E3563D9F5}" type="TxLink">
              <a:rPr lang="en-US" sz="1400" b="0" i="0" u="none" strike="noStrike">
                <a:solidFill>
                  <a:srgbClr val="000000"/>
                </a:solidFill>
                <a:latin typeface="+mn-lt"/>
                <a:cs typeface="Calibri"/>
              </a:rPr>
              <a:pPr/>
              <a:t>7,435</a:t>
            </a:fld>
            <a:endParaRPr lang="en-US" sz="1400">
              <a:latin typeface="+mn-lt"/>
            </a:endParaRPr>
          </a:p>
        </xdr:txBody>
      </xdr:sp>
    </xdr:grpSp>
    <xdr:clientData/>
  </xdr:twoCellAnchor>
  <xdr:twoCellAnchor>
    <xdr:from>
      <xdr:col>8</xdr:col>
      <xdr:colOff>238133</xdr:colOff>
      <xdr:row>27</xdr:row>
      <xdr:rowOff>107156</xdr:rowOff>
    </xdr:from>
    <xdr:to>
      <xdr:col>10</xdr:col>
      <xdr:colOff>440539</xdr:colOff>
      <xdr:row>29</xdr:row>
      <xdr:rowOff>95249</xdr:rowOff>
    </xdr:to>
    <xdr:sp macro="" textlink="$AH$43">
      <xdr:nvSpPr>
        <xdr:cNvPr id="182" name="TextBox 181">
          <a:extLst>
            <a:ext uri="{FF2B5EF4-FFF2-40B4-BE49-F238E27FC236}">
              <a16:creationId xmlns:a16="http://schemas.microsoft.com/office/drawing/2014/main" id="{00000000-0008-0000-0400-0000B6000000}"/>
            </a:ext>
          </a:extLst>
        </xdr:cNvPr>
        <xdr:cNvSpPr txBox="1"/>
      </xdr:nvSpPr>
      <xdr:spPr>
        <a:xfrm>
          <a:off x="5095883" y="4917281"/>
          <a:ext cx="1416844" cy="369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B8CBF5E2-A8A4-4618-A173-D977C6AF2B17}" type="TxLink">
            <a:rPr lang="en-US" sz="1800" b="1" i="0" u="none" strike="noStrike">
              <a:solidFill>
                <a:srgbClr val="000000"/>
              </a:solidFill>
              <a:latin typeface="+mn-lt"/>
            </a:rPr>
            <a:pPr/>
            <a:t>Urban with Parking</a:t>
          </a:fld>
          <a:endParaRPr lang="en-US" sz="1800" b="1">
            <a:latin typeface="+mn-lt"/>
          </a:endParaRPr>
        </a:p>
      </xdr:txBody>
    </xdr:sp>
    <xdr:clientData/>
  </xdr:twoCellAnchor>
  <xdr:twoCellAnchor>
    <xdr:from>
      <xdr:col>0</xdr:col>
      <xdr:colOff>457200</xdr:colOff>
      <xdr:row>44</xdr:row>
      <xdr:rowOff>63500</xdr:rowOff>
    </xdr:from>
    <xdr:to>
      <xdr:col>15</xdr:col>
      <xdr:colOff>364552</xdr:colOff>
      <xdr:row>44</xdr:row>
      <xdr:rowOff>673100</xdr:rowOff>
    </xdr:to>
    <xdr:grpSp>
      <xdr:nvGrpSpPr>
        <xdr:cNvPr id="202" name="Group 201">
          <a:extLst>
            <a:ext uri="{FF2B5EF4-FFF2-40B4-BE49-F238E27FC236}">
              <a16:creationId xmlns:a16="http://schemas.microsoft.com/office/drawing/2014/main" id="{00000000-0008-0000-0400-0000CA000000}"/>
            </a:ext>
          </a:extLst>
        </xdr:cNvPr>
        <xdr:cNvGrpSpPr/>
      </xdr:nvGrpSpPr>
      <xdr:grpSpPr>
        <a:xfrm>
          <a:off x="457200" y="8649607"/>
          <a:ext cx="9092173" cy="609600"/>
          <a:chOff x="457200" y="8674100"/>
          <a:chExt cx="9051352" cy="609600"/>
        </a:xfrm>
      </xdr:grpSpPr>
      <xdr:sp macro="" textlink="">
        <xdr:nvSpPr>
          <xdr:cNvPr id="192" name="TextBox 191">
            <a:extLst>
              <a:ext uri="{FF2B5EF4-FFF2-40B4-BE49-F238E27FC236}">
                <a16:creationId xmlns:a16="http://schemas.microsoft.com/office/drawing/2014/main" id="{00000000-0008-0000-0400-0000C0000000}"/>
              </a:ext>
            </a:extLst>
          </xdr:cNvPr>
          <xdr:cNvSpPr txBox="1"/>
        </xdr:nvSpPr>
        <xdr:spPr>
          <a:xfrm>
            <a:off x="457200" y="8674100"/>
            <a:ext cx="1162179"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Pre-Invest.</a:t>
            </a:r>
            <a:r>
              <a:rPr lang="en-US" sz="1400" baseline="0"/>
              <a:t> </a:t>
            </a:r>
            <a:br>
              <a:rPr lang="en-US" sz="1400" baseline="0"/>
            </a:br>
            <a:r>
              <a:rPr lang="en-US" sz="1400" baseline="0"/>
              <a:t>Supply</a:t>
            </a:r>
            <a:endParaRPr lang="en-US" sz="1400"/>
          </a:p>
        </xdr:txBody>
      </xdr:sp>
      <xdr:sp macro="" textlink="$AK$48">
        <xdr:nvSpPr>
          <xdr:cNvPr id="196" name="TextBox 195">
            <a:extLst>
              <a:ext uri="{FF2B5EF4-FFF2-40B4-BE49-F238E27FC236}">
                <a16:creationId xmlns:a16="http://schemas.microsoft.com/office/drawing/2014/main" id="{00000000-0008-0000-0400-0000C4000000}"/>
              </a:ext>
            </a:extLst>
          </xdr:cNvPr>
          <xdr:cNvSpPr txBox="1"/>
        </xdr:nvSpPr>
        <xdr:spPr>
          <a:xfrm>
            <a:off x="2108200" y="8862419"/>
            <a:ext cx="326452" cy="296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EC05557B-98B3-43F8-8165-D0DC6680546B}" type="TxLink">
              <a:rPr lang="en-US" sz="1400" b="0" i="0" u="none" strike="noStrike">
                <a:solidFill>
                  <a:srgbClr val="000000"/>
                </a:solidFill>
                <a:latin typeface="Arialri"/>
                <a:cs typeface="Calibri"/>
              </a:rPr>
              <a:pPr/>
              <a:t>0</a:t>
            </a:fld>
            <a:endParaRPr lang="en-US" sz="1400">
              <a:latin typeface="+mn-lt"/>
            </a:endParaRPr>
          </a:p>
        </xdr:txBody>
      </xdr:sp>
      <xdr:sp macro="" textlink="$AK$49">
        <xdr:nvSpPr>
          <xdr:cNvPr id="197" name="TextBox 196">
            <a:extLst>
              <a:ext uri="{FF2B5EF4-FFF2-40B4-BE49-F238E27FC236}">
                <a16:creationId xmlns:a16="http://schemas.microsoft.com/office/drawing/2014/main" id="{00000000-0008-0000-0400-0000C5000000}"/>
              </a:ext>
            </a:extLst>
          </xdr:cNvPr>
          <xdr:cNvSpPr txBox="1"/>
        </xdr:nvSpPr>
        <xdr:spPr>
          <a:xfrm>
            <a:off x="3517900" y="8862419"/>
            <a:ext cx="326452" cy="296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24158115-3A30-41E1-9C36-C9827BEE46FD}" type="TxLink">
              <a:rPr lang="en-US" sz="1400" b="0" i="0" u="none" strike="noStrike">
                <a:solidFill>
                  <a:srgbClr val="000000"/>
                </a:solidFill>
                <a:latin typeface="Arialri"/>
                <a:cs typeface="Calibri"/>
              </a:rPr>
              <a:pPr/>
              <a:t>21</a:t>
            </a:fld>
            <a:endParaRPr lang="en-US" sz="1400">
              <a:latin typeface="+mn-lt"/>
            </a:endParaRPr>
          </a:p>
        </xdr:txBody>
      </xdr:sp>
      <xdr:sp macro="" textlink="$AK$50">
        <xdr:nvSpPr>
          <xdr:cNvPr id="198" name="TextBox 197">
            <a:extLst>
              <a:ext uri="{FF2B5EF4-FFF2-40B4-BE49-F238E27FC236}">
                <a16:creationId xmlns:a16="http://schemas.microsoft.com/office/drawing/2014/main" id="{00000000-0008-0000-0400-0000C6000000}"/>
              </a:ext>
            </a:extLst>
          </xdr:cNvPr>
          <xdr:cNvSpPr txBox="1"/>
        </xdr:nvSpPr>
        <xdr:spPr>
          <a:xfrm>
            <a:off x="4914900" y="8862419"/>
            <a:ext cx="326452" cy="296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09178F88-168F-4056-BC07-AA3BAEAD4112}" type="TxLink">
              <a:rPr lang="en-US" sz="1400" b="0" i="0" u="none" strike="noStrike">
                <a:solidFill>
                  <a:srgbClr val="000000"/>
                </a:solidFill>
                <a:latin typeface="Arialri"/>
                <a:cs typeface="Calibri"/>
              </a:rPr>
              <a:pPr/>
              <a:t>0</a:t>
            </a:fld>
            <a:endParaRPr lang="en-US" sz="1400">
              <a:latin typeface="+mn-lt"/>
            </a:endParaRPr>
          </a:p>
        </xdr:txBody>
      </xdr:sp>
      <xdr:sp macro="" textlink="$AK$51">
        <xdr:nvSpPr>
          <xdr:cNvPr id="199" name="TextBox 198">
            <a:extLst>
              <a:ext uri="{FF2B5EF4-FFF2-40B4-BE49-F238E27FC236}">
                <a16:creationId xmlns:a16="http://schemas.microsoft.com/office/drawing/2014/main" id="{00000000-0008-0000-0400-0000C7000000}"/>
              </a:ext>
            </a:extLst>
          </xdr:cNvPr>
          <xdr:cNvSpPr txBox="1"/>
        </xdr:nvSpPr>
        <xdr:spPr>
          <a:xfrm>
            <a:off x="6286500" y="8862419"/>
            <a:ext cx="326452" cy="296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C6A491B2-2831-4A15-B3E0-BBEB64EBA7D0}" type="TxLink">
              <a:rPr lang="en-US" sz="1400" b="0" i="0" u="none" strike="noStrike">
                <a:solidFill>
                  <a:srgbClr val="000000"/>
                </a:solidFill>
                <a:latin typeface="Arialri"/>
                <a:cs typeface="Calibri"/>
              </a:rPr>
              <a:pPr/>
              <a:t>32</a:t>
            </a:fld>
            <a:endParaRPr lang="en-US" sz="1400">
              <a:latin typeface="+mn-lt"/>
            </a:endParaRPr>
          </a:p>
        </xdr:txBody>
      </xdr:sp>
      <xdr:sp macro="" textlink="$AK$52">
        <xdr:nvSpPr>
          <xdr:cNvPr id="200" name="TextBox 199">
            <a:extLst>
              <a:ext uri="{FF2B5EF4-FFF2-40B4-BE49-F238E27FC236}">
                <a16:creationId xmlns:a16="http://schemas.microsoft.com/office/drawing/2014/main" id="{00000000-0008-0000-0400-0000C8000000}"/>
              </a:ext>
            </a:extLst>
          </xdr:cNvPr>
          <xdr:cNvSpPr txBox="1"/>
        </xdr:nvSpPr>
        <xdr:spPr>
          <a:xfrm>
            <a:off x="7772400" y="8862419"/>
            <a:ext cx="326452" cy="296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59297342-CAE5-4E18-8D24-145682D6D2A2}" type="TxLink">
              <a:rPr lang="en-US" sz="1400" b="0" i="0" u="none" strike="noStrike">
                <a:solidFill>
                  <a:srgbClr val="000000"/>
                </a:solidFill>
                <a:latin typeface="Arialri"/>
                <a:cs typeface="Calibri"/>
              </a:rPr>
              <a:pPr/>
              <a:t>0</a:t>
            </a:fld>
            <a:endParaRPr lang="en-US" sz="1400">
              <a:latin typeface="+mn-lt"/>
            </a:endParaRPr>
          </a:p>
        </xdr:txBody>
      </xdr:sp>
      <xdr:sp macro="" textlink="$AK$53">
        <xdr:nvSpPr>
          <xdr:cNvPr id="201" name="TextBox 200">
            <a:extLst>
              <a:ext uri="{FF2B5EF4-FFF2-40B4-BE49-F238E27FC236}">
                <a16:creationId xmlns:a16="http://schemas.microsoft.com/office/drawing/2014/main" id="{00000000-0008-0000-0400-0000C9000000}"/>
              </a:ext>
            </a:extLst>
          </xdr:cNvPr>
          <xdr:cNvSpPr txBox="1"/>
        </xdr:nvSpPr>
        <xdr:spPr>
          <a:xfrm>
            <a:off x="9182100" y="8862419"/>
            <a:ext cx="326452" cy="296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797B245C-346B-49AE-9314-B9E08F46C181}" type="TxLink">
              <a:rPr lang="en-US" sz="1400" b="0" i="0" u="none" strike="noStrike">
                <a:solidFill>
                  <a:srgbClr val="000000"/>
                </a:solidFill>
                <a:latin typeface="Arialri"/>
                <a:cs typeface="Calibri"/>
              </a:rPr>
              <a:pPr/>
              <a:t>0</a:t>
            </a:fld>
            <a:endParaRPr lang="en-US" sz="1400">
              <a:latin typeface="+mn-lt"/>
            </a:endParaRPr>
          </a:p>
        </xdr:txBody>
      </xdr:sp>
    </xdr:grpSp>
    <xdr:clientData/>
  </xdr:twoCellAnchor>
  <xdr:twoCellAnchor>
    <xdr:from>
      <xdr:col>12</xdr:col>
      <xdr:colOff>577621</xdr:colOff>
      <xdr:row>96</xdr:row>
      <xdr:rowOff>111136</xdr:rowOff>
    </xdr:from>
    <xdr:to>
      <xdr:col>17</xdr:col>
      <xdr:colOff>191295</xdr:colOff>
      <xdr:row>117</xdr:row>
      <xdr:rowOff>167663</xdr:rowOff>
    </xdr:to>
    <xdr:grpSp>
      <xdr:nvGrpSpPr>
        <xdr:cNvPr id="209" name="Group 208">
          <a:extLst>
            <a:ext uri="{FF2B5EF4-FFF2-40B4-BE49-F238E27FC236}">
              <a16:creationId xmlns:a16="http://schemas.microsoft.com/office/drawing/2014/main" id="{00000000-0008-0000-0400-0000D1000000}"/>
            </a:ext>
          </a:extLst>
        </xdr:cNvPr>
        <xdr:cNvGrpSpPr/>
      </xdr:nvGrpSpPr>
      <xdr:grpSpPr>
        <a:xfrm>
          <a:off x="7925478" y="23216065"/>
          <a:ext cx="2675281" cy="4084241"/>
          <a:chOff x="7892821" y="22602836"/>
          <a:chExt cx="2661674" cy="4082427"/>
        </a:xfrm>
      </xdr:grpSpPr>
      <xdr:grpSp>
        <xdr:nvGrpSpPr>
          <xdr:cNvPr id="194" name="Group 193">
            <a:extLst>
              <a:ext uri="{FF2B5EF4-FFF2-40B4-BE49-F238E27FC236}">
                <a16:creationId xmlns:a16="http://schemas.microsoft.com/office/drawing/2014/main" id="{00000000-0008-0000-0400-0000C2000000}"/>
              </a:ext>
            </a:extLst>
          </xdr:cNvPr>
          <xdr:cNvGrpSpPr/>
        </xdr:nvGrpSpPr>
        <xdr:grpSpPr>
          <a:xfrm>
            <a:off x="7892821" y="22602836"/>
            <a:ext cx="2661674" cy="3749666"/>
            <a:chOff x="7625414" y="22467103"/>
            <a:chExt cx="1928560" cy="3748179"/>
          </a:xfrm>
        </xdr:grpSpPr>
        <xdr:sp macro="" textlink="">
          <xdr:nvSpPr>
            <xdr:cNvPr id="141" name="TextBox 140">
              <a:extLst>
                <a:ext uri="{FF2B5EF4-FFF2-40B4-BE49-F238E27FC236}">
                  <a16:creationId xmlns:a16="http://schemas.microsoft.com/office/drawing/2014/main" id="{00000000-0008-0000-0400-00008D000000}"/>
                </a:ext>
              </a:extLst>
            </xdr:cNvPr>
            <xdr:cNvSpPr txBox="1"/>
          </xdr:nvSpPr>
          <xdr:spPr>
            <a:xfrm>
              <a:off x="7631906" y="22989195"/>
              <a:ext cx="913048" cy="598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Racks inside </a:t>
              </a:r>
            </a:p>
            <a:p>
              <a:r>
                <a:rPr lang="en-US" sz="1400"/>
                <a:t>fare gates</a:t>
              </a:r>
            </a:p>
          </xdr:txBody>
        </xdr:sp>
        <xdr:sp macro="" textlink="">
          <xdr:nvSpPr>
            <xdr:cNvPr id="142" name="TextBox 141">
              <a:extLst>
                <a:ext uri="{FF2B5EF4-FFF2-40B4-BE49-F238E27FC236}">
                  <a16:creationId xmlns:a16="http://schemas.microsoft.com/office/drawing/2014/main" id="{00000000-0008-0000-0400-00008E000000}"/>
                </a:ext>
              </a:extLst>
            </xdr:cNvPr>
            <xdr:cNvSpPr txBox="1"/>
          </xdr:nvSpPr>
          <xdr:spPr>
            <a:xfrm>
              <a:off x="7631906" y="23557352"/>
              <a:ext cx="970637" cy="598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Racks outside</a:t>
              </a:r>
            </a:p>
            <a:p>
              <a:r>
                <a:rPr lang="en-US" sz="1400"/>
                <a:t>fare gates</a:t>
              </a:r>
            </a:p>
          </xdr:txBody>
        </xdr:sp>
        <xdr:sp macro="" textlink="">
          <xdr:nvSpPr>
            <xdr:cNvPr id="143" name="TextBox 142">
              <a:extLst>
                <a:ext uri="{FF2B5EF4-FFF2-40B4-BE49-F238E27FC236}">
                  <a16:creationId xmlns:a16="http://schemas.microsoft.com/office/drawing/2014/main" id="{00000000-0008-0000-0400-00008F000000}"/>
                </a:ext>
              </a:extLst>
            </xdr:cNvPr>
            <xdr:cNvSpPr txBox="1"/>
          </xdr:nvSpPr>
          <xdr:spPr>
            <a:xfrm>
              <a:off x="7631906" y="24125511"/>
              <a:ext cx="1003710" cy="362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Keyed Lockers</a:t>
              </a:r>
            </a:p>
          </xdr:txBody>
        </xdr:sp>
        <xdr:sp macro="" textlink="">
          <xdr:nvSpPr>
            <xdr:cNvPr id="144" name="TextBox 143">
              <a:extLst>
                <a:ext uri="{FF2B5EF4-FFF2-40B4-BE49-F238E27FC236}">
                  <a16:creationId xmlns:a16="http://schemas.microsoft.com/office/drawing/2014/main" id="{00000000-0008-0000-0400-000090000000}"/>
                </a:ext>
              </a:extLst>
            </xdr:cNvPr>
            <xdr:cNvSpPr txBox="1"/>
          </xdr:nvSpPr>
          <xdr:spPr>
            <a:xfrm>
              <a:off x="7631906" y="24478690"/>
              <a:ext cx="1220808" cy="362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Electronic</a:t>
              </a:r>
              <a:r>
                <a:rPr lang="en-US" sz="1400" baseline="0"/>
                <a:t> Lockers</a:t>
              </a:r>
            </a:p>
          </xdr:txBody>
        </xdr:sp>
        <xdr:sp macro="" textlink="">
          <xdr:nvSpPr>
            <xdr:cNvPr id="145" name="TextBox 144">
              <a:extLst>
                <a:ext uri="{FF2B5EF4-FFF2-40B4-BE49-F238E27FC236}">
                  <a16:creationId xmlns:a16="http://schemas.microsoft.com/office/drawing/2014/main" id="{00000000-0008-0000-0400-000091000000}"/>
                </a:ext>
              </a:extLst>
            </xdr:cNvPr>
            <xdr:cNvSpPr txBox="1"/>
          </xdr:nvSpPr>
          <xdr:spPr>
            <a:xfrm>
              <a:off x="7631906" y="24831870"/>
              <a:ext cx="870839" cy="598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Self Serve </a:t>
              </a:r>
            </a:p>
            <a:p>
              <a:r>
                <a:rPr lang="en-US" sz="1400"/>
                <a:t>Bike Station</a:t>
              </a:r>
              <a:endParaRPr lang="en-US" sz="1400" baseline="0"/>
            </a:p>
          </xdr:txBody>
        </xdr:sp>
        <xdr:sp macro="" textlink="">
          <xdr:nvSpPr>
            <xdr:cNvPr id="146" name="TextBox 145">
              <a:extLst>
                <a:ext uri="{FF2B5EF4-FFF2-40B4-BE49-F238E27FC236}">
                  <a16:creationId xmlns:a16="http://schemas.microsoft.com/office/drawing/2014/main" id="{00000000-0008-0000-0400-000092000000}"/>
                </a:ext>
              </a:extLst>
            </xdr:cNvPr>
            <xdr:cNvSpPr txBox="1"/>
          </xdr:nvSpPr>
          <xdr:spPr>
            <a:xfrm>
              <a:off x="7631906" y="25353963"/>
              <a:ext cx="870839" cy="598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Attended</a:t>
              </a:r>
              <a:r>
                <a:rPr lang="en-US" sz="1400" baseline="0"/>
                <a:t> </a:t>
              </a:r>
            </a:p>
            <a:p>
              <a:r>
                <a:rPr lang="en-US" sz="1400"/>
                <a:t>Bike Station</a:t>
              </a:r>
              <a:endParaRPr lang="en-US" sz="1400" baseline="0"/>
            </a:p>
          </xdr:txBody>
        </xdr:sp>
        <xdr:sp macro="" textlink="">
          <xdr:nvSpPr>
            <xdr:cNvPr id="147" name="TextBox 146">
              <a:extLst>
                <a:ext uri="{FF2B5EF4-FFF2-40B4-BE49-F238E27FC236}">
                  <a16:creationId xmlns:a16="http://schemas.microsoft.com/office/drawing/2014/main" id="{00000000-0008-0000-0400-000093000000}"/>
                </a:ext>
              </a:extLst>
            </xdr:cNvPr>
            <xdr:cNvSpPr txBox="1"/>
          </xdr:nvSpPr>
          <xdr:spPr>
            <a:xfrm>
              <a:off x="8884405" y="22467103"/>
              <a:ext cx="669569" cy="598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b="1"/>
                <a:t>Ridership</a:t>
              </a:r>
            </a:p>
            <a:p>
              <a:r>
                <a:rPr lang="en-US" sz="1400" b="1"/>
                <a:t>Increase</a:t>
              </a:r>
            </a:p>
          </xdr:txBody>
        </xdr:sp>
        <xdr:sp macro="" textlink="$AD$68">
          <xdr:nvSpPr>
            <xdr:cNvPr id="148" name="TextBox 147">
              <a:extLst>
                <a:ext uri="{FF2B5EF4-FFF2-40B4-BE49-F238E27FC236}">
                  <a16:creationId xmlns:a16="http://schemas.microsoft.com/office/drawing/2014/main" id="{00000000-0008-0000-0400-000094000000}"/>
                </a:ext>
              </a:extLst>
            </xdr:cNvPr>
            <xdr:cNvSpPr txBox="1"/>
          </xdr:nvSpPr>
          <xdr:spPr>
            <a:xfrm>
              <a:off x="8894425" y="23077099"/>
              <a:ext cx="2286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B717DBB2-0661-4F96-839C-561158508FF7}" type="TxLink">
                <a:rPr lang="en-US" sz="1400" b="0" i="0" u="none" strike="noStrike">
                  <a:solidFill>
                    <a:srgbClr val="000000"/>
                  </a:solidFill>
                  <a:latin typeface="+mn-lt"/>
                  <a:cs typeface="Calibri"/>
                </a:rPr>
                <a:pPr/>
                <a:t>63</a:t>
              </a:fld>
              <a:endParaRPr lang="en-US" sz="1400">
                <a:latin typeface="+mn-lt"/>
              </a:endParaRPr>
            </a:p>
          </xdr:txBody>
        </xdr:sp>
        <xdr:sp macro="" textlink="$AE$68">
          <xdr:nvSpPr>
            <xdr:cNvPr id="149" name="TextBox 148">
              <a:extLst>
                <a:ext uri="{FF2B5EF4-FFF2-40B4-BE49-F238E27FC236}">
                  <a16:creationId xmlns:a16="http://schemas.microsoft.com/office/drawing/2014/main" id="{00000000-0008-0000-0400-000095000000}"/>
                </a:ext>
              </a:extLst>
            </xdr:cNvPr>
            <xdr:cNvSpPr txBox="1"/>
          </xdr:nvSpPr>
          <xdr:spPr>
            <a:xfrm>
              <a:off x="8894425" y="23633915"/>
              <a:ext cx="2286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53C670DF-386A-415F-ACAE-36268D1C897B}" type="TxLink">
                <a:rPr lang="en-US" sz="1400" b="0" i="0" u="none" strike="noStrike">
                  <a:solidFill>
                    <a:srgbClr val="000000"/>
                  </a:solidFill>
                  <a:latin typeface="+mn-lt"/>
                  <a:cs typeface="Calibri"/>
                </a:rPr>
                <a:pPr/>
                <a:t>0</a:t>
              </a:fld>
              <a:endParaRPr lang="en-US" sz="1400">
                <a:latin typeface="+mn-lt"/>
              </a:endParaRPr>
            </a:p>
          </xdr:txBody>
        </xdr:sp>
        <xdr:sp macro="" textlink="$AF$68">
          <xdr:nvSpPr>
            <xdr:cNvPr id="150" name="TextBox 149">
              <a:extLst>
                <a:ext uri="{FF2B5EF4-FFF2-40B4-BE49-F238E27FC236}">
                  <a16:creationId xmlns:a16="http://schemas.microsoft.com/office/drawing/2014/main" id="{00000000-0008-0000-0400-000096000000}"/>
                </a:ext>
              </a:extLst>
            </xdr:cNvPr>
            <xdr:cNvSpPr txBox="1"/>
          </xdr:nvSpPr>
          <xdr:spPr>
            <a:xfrm>
              <a:off x="8894425" y="24125511"/>
              <a:ext cx="2286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88E5FE85-4DE5-4D61-A943-54990061CA49}" type="TxLink">
                <a:rPr lang="en-US" sz="1400" b="0" i="0" u="none" strike="noStrike">
                  <a:solidFill>
                    <a:srgbClr val="000000"/>
                  </a:solidFill>
                  <a:latin typeface="+mn-lt"/>
                  <a:cs typeface="Calibri"/>
                </a:rPr>
                <a:pPr/>
                <a:t>0</a:t>
              </a:fld>
              <a:endParaRPr lang="en-US" sz="1400">
                <a:latin typeface="+mn-lt"/>
              </a:endParaRPr>
            </a:p>
          </xdr:txBody>
        </xdr:sp>
        <xdr:sp macro="" textlink="$AG$68">
          <xdr:nvSpPr>
            <xdr:cNvPr id="151" name="TextBox 150">
              <a:extLst>
                <a:ext uri="{FF2B5EF4-FFF2-40B4-BE49-F238E27FC236}">
                  <a16:creationId xmlns:a16="http://schemas.microsoft.com/office/drawing/2014/main" id="{00000000-0008-0000-0400-000097000000}"/>
                </a:ext>
              </a:extLst>
            </xdr:cNvPr>
            <xdr:cNvSpPr txBox="1"/>
          </xdr:nvSpPr>
          <xdr:spPr>
            <a:xfrm>
              <a:off x="8894425" y="24479259"/>
              <a:ext cx="2286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6007220E-D5D1-4268-92E6-371A0C2E32E7}" type="TxLink">
                <a:rPr lang="en-US" sz="1400" b="0" i="0" u="none" strike="noStrike">
                  <a:solidFill>
                    <a:srgbClr val="000000"/>
                  </a:solidFill>
                  <a:latin typeface="+mn-lt"/>
                  <a:cs typeface="Calibri"/>
                </a:rPr>
                <a:pPr/>
                <a:t>53</a:t>
              </a:fld>
              <a:endParaRPr lang="en-US" sz="1400">
                <a:latin typeface="+mn-lt"/>
              </a:endParaRPr>
            </a:p>
          </xdr:txBody>
        </xdr:sp>
        <xdr:sp macro="" textlink="$AH$68">
          <xdr:nvSpPr>
            <xdr:cNvPr id="152" name="TextBox 151">
              <a:extLst>
                <a:ext uri="{FF2B5EF4-FFF2-40B4-BE49-F238E27FC236}">
                  <a16:creationId xmlns:a16="http://schemas.microsoft.com/office/drawing/2014/main" id="{00000000-0008-0000-0400-000098000000}"/>
                </a:ext>
              </a:extLst>
            </xdr:cNvPr>
            <xdr:cNvSpPr txBox="1"/>
          </xdr:nvSpPr>
          <xdr:spPr>
            <a:xfrm>
              <a:off x="8894425" y="24918998"/>
              <a:ext cx="2286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6CA2A06D-D44C-47F9-BB17-951FCE9B9C9D}" type="TxLink">
                <a:rPr lang="en-US" sz="1400" b="0" i="0" u="none" strike="noStrike">
                  <a:solidFill>
                    <a:srgbClr val="000000"/>
                  </a:solidFill>
                  <a:latin typeface="+mn-lt"/>
                  <a:cs typeface="Calibri"/>
                </a:rPr>
                <a:pPr/>
                <a:t>0</a:t>
              </a:fld>
              <a:endParaRPr lang="en-US" sz="1400">
                <a:latin typeface="+mn-lt"/>
              </a:endParaRPr>
            </a:p>
          </xdr:txBody>
        </xdr:sp>
        <xdr:sp macro="" textlink="$AI$68">
          <xdr:nvSpPr>
            <xdr:cNvPr id="153" name="TextBox 152">
              <a:extLst>
                <a:ext uri="{FF2B5EF4-FFF2-40B4-BE49-F238E27FC236}">
                  <a16:creationId xmlns:a16="http://schemas.microsoft.com/office/drawing/2014/main" id="{00000000-0008-0000-0400-000099000000}"/>
                </a:ext>
              </a:extLst>
            </xdr:cNvPr>
            <xdr:cNvSpPr txBox="1"/>
          </xdr:nvSpPr>
          <xdr:spPr>
            <a:xfrm>
              <a:off x="8894425" y="25422285"/>
              <a:ext cx="228600"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AB18C347-654E-4367-B2DC-B002A7A9F467}" type="TxLink">
                <a:rPr lang="en-US" sz="1400" b="0" i="0" u="none" strike="noStrike">
                  <a:solidFill>
                    <a:srgbClr val="000000"/>
                  </a:solidFill>
                  <a:latin typeface="+mn-lt"/>
                  <a:cs typeface="Calibri"/>
                </a:rPr>
                <a:pPr/>
                <a:t>315</a:t>
              </a:fld>
              <a:endParaRPr lang="en-US" sz="1400">
                <a:latin typeface="+mn-lt"/>
              </a:endParaRPr>
            </a:p>
          </xdr:txBody>
        </xdr:sp>
        <xdr:sp macro="" textlink="$AD$69">
          <xdr:nvSpPr>
            <xdr:cNvPr id="174" name="TextBox 173">
              <a:extLst>
                <a:ext uri="{FF2B5EF4-FFF2-40B4-BE49-F238E27FC236}">
                  <a16:creationId xmlns:a16="http://schemas.microsoft.com/office/drawing/2014/main" id="{00000000-0008-0000-0400-0000AE000000}"/>
                </a:ext>
              </a:extLst>
            </xdr:cNvPr>
            <xdr:cNvSpPr txBox="1"/>
          </xdr:nvSpPr>
          <xdr:spPr>
            <a:xfrm>
              <a:off x="9201603" y="23074721"/>
              <a:ext cx="2286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C89E6852-DCF2-4304-8D01-98AA89ED7A27}" type="TxLink">
                <a:rPr lang="en-US" sz="1400" b="0" i="0" u="none" strike="noStrike">
                  <a:solidFill>
                    <a:srgbClr val="000000"/>
                  </a:solidFill>
                  <a:latin typeface="+mn-lt"/>
                  <a:cs typeface="Calibri"/>
                </a:rPr>
                <a:pPr/>
                <a:t>(15%)</a:t>
              </a:fld>
              <a:endParaRPr lang="en-US" sz="1400">
                <a:latin typeface="+mn-lt"/>
              </a:endParaRPr>
            </a:p>
          </xdr:txBody>
        </xdr:sp>
        <xdr:sp macro="" textlink="$AE$69">
          <xdr:nvSpPr>
            <xdr:cNvPr id="175" name="TextBox 174">
              <a:extLst>
                <a:ext uri="{FF2B5EF4-FFF2-40B4-BE49-F238E27FC236}">
                  <a16:creationId xmlns:a16="http://schemas.microsoft.com/office/drawing/2014/main" id="{00000000-0008-0000-0400-0000AF000000}"/>
                </a:ext>
              </a:extLst>
            </xdr:cNvPr>
            <xdr:cNvSpPr txBox="1"/>
          </xdr:nvSpPr>
          <xdr:spPr>
            <a:xfrm>
              <a:off x="9201603" y="23631537"/>
              <a:ext cx="2286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9135EB52-9830-4361-BC65-73807ED38F80}" type="TxLink">
                <a:rPr lang="en-US" sz="1400" b="0" i="0" u="none" strike="noStrike">
                  <a:solidFill>
                    <a:srgbClr val="000000"/>
                  </a:solidFill>
                  <a:latin typeface="+mn-lt"/>
                  <a:cs typeface="Calibri"/>
                </a:rPr>
                <a:pPr/>
                <a:t>(0%)</a:t>
              </a:fld>
              <a:endParaRPr lang="en-US" sz="1400">
                <a:latin typeface="+mn-lt"/>
              </a:endParaRPr>
            </a:p>
          </xdr:txBody>
        </xdr:sp>
        <xdr:sp macro="" textlink="$AF$69">
          <xdr:nvSpPr>
            <xdr:cNvPr id="176" name="TextBox 175">
              <a:extLst>
                <a:ext uri="{FF2B5EF4-FFF2-40B4-BE49-F238E27FC236}">
                  <a16:creationId xmlns:a16="http://schemas.microsoft.com/office/drawing/2014/main" id="{00000000-0008-0000-0400-0000B0000000}"/>
                </a:ext>
              </a:extLst>
            </xdr:cNvPr>
            <xdr:cNvSpPr txBox="1"/>
          </xdr:nvSpPr>
          <xdr:spPr>
            <a:xfrm>
              <a:off x="9201603" y="24123133"/>
              <a:ext cx="2286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B81413D4-6D3E-4F1B-8ABF-F1CD380EF5DB}" type="TxLink">
                <a:rPr lang="en-US" sz="1400" b="0" i="0" u="none" strike="noStrike">
                  <a:solidFill>
                    <a:srgbClr val="000000"/>
                  </a:solidFill>
                  <a:latin typeface="+mn-lt"/>
                  <a:cs typeface="Calibri"/>
                </a:rPr>
                <a:pPr/>
                <a:t>(0%)</a:t>
              </a:fld>
              <a:endParaRPr lang="en-US" sz="1400">
                <a:latin typeface="+mn-lt"/>
              </a:endParaRPr>
            </a:p>
          </xdr:txBody>
        </xdr:sp>
        <xdr:sp macro="" textlink="$AG$69">
          <xdr:nvSpPr>
            <xdr:cNvPr id="177" name="TextBox 176">
              <a:extLst>
                <a:ext uri="{FF2B5EF4-FFF2-40B4-BE49-F238E27FC236}">
                  <a16:creationId xmlns:a16="http://schemas.microsoft.com/office/drawing/2014/main" id="{00000000-0008-0000-0400-0000B1000000}"/>
                </a:ext>
              </a:extLst>
            </xdr:cNvPr>
            <xdr:cNvSpPr txBox="1"/>
          </xdr:nvSpPr>
          <xdr:spPr>
            <a:xfrm>
              <a:off x="9201603" y="24476881"/>
              <a:ext cx="2286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9B25CAF5-1D1F-415F-889F-AD911243FD20}" type="TxLink">
                <a:rPr lang="en-US" sz="1400" b="0" i="0" u="none" strike="noStrike">
                  <a:solidFill>
                    <a:srgbClr val="000000"/>
                  </a:solidFill>
                  <a:latin typeface="+mn-lt"/>
                  <a:cs typeface="Calibri"/>
                </a:rPr>
                <a:pPr/>
                <a:t>(12%)</a:t>
              </a:fld>
              <a:endParaRPr lang="en-US" sz="1400">
                <a:latin typeface="+mn-lt"/>
              </a:endParaRPr>
            </a:p>
          </xdr:txBody>
        </xdr:sp>
        <xdr:sp macro="" textlink="$AH$69">
          <xdr:nvSpPr>
            <xdr:cNvPr id="178" name="TextBox 177">
              <a:extLst>
                <a:ext uri="{FF2B5EF4-FFF2-40B4-BE49-F238E27FC236}">
                  <a16:creationId xmlns:a16="http://schemas.microsoft.com/office/drawing/2014/main" id="{00000000-0008-0000-0400-0000B2000000}"/>
                </a:ext>
              </a:extLst>
            </xdr:cNvPr>
            <xdr:cNvSpPr txBox="1"/>
          </xdr:nvSpPr>
          <xdr:spPr>
            <a:xfrm>
              <a:off x="9201603" y="24916620"/>
              <a:ext cx="2286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F1A306AA-092D-4389-AF87-0D57856CDA6B}" type="TxLink">
                <a:rPr lang="en-US" sz="1400" b="0" i="0" u="none" strike="noStrike">
                  <a:solidFill>
                    <a:srgbClr val="000000"/>
                  </a:solidFill>
                  <a:latin typeface="+mn-lt"/>
                  <a:cs typeface="Calibri"/>
                </a:rPr>
                <a:pPr/>
                <a:t>(0%)</a:t>
              </a:fld>
              <a:endParaRPr lang="en-US" sz="1400">
                <a:latin typeface="+mn-lt"/>
              </a:endParaRPr>
            </a:p>
          </xdr:txBody>
        </xdr:sp>
        <xdr:sp macro="" textlink="$AI$69">
          <xdr:nvSpPr>
            <xdr:cNvPr id="179" name="TextBox 178">
              <a:extLst>
                <a:ext uri="{FF2B5EF4-FFF2-40B4-BE49-F238E27FC236}">
                  <a16:creationId xmlns:a16="http://schemas.microsoft.com/office/drawing/2014/main" id="{00000000-0008-0000-0400-0000B3000000}"/>
                </a:ext>
              </a:extLst>
            </xdr:cNvPr>
            <xdr:cNvSpPr txBox="1"/>
          </xdr:nvSpPr>
          <xdr:spPr>
            <a:xfrm>
              <a:off x="9201603" y="25419907"/>
              <a:ext cx="228600"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7A1B9795-44E4-47CE-80EE-44FCE625F34B}" type="TxLink">
                <a:rPr lang="en-US" sz="1400" b="0" i="0" u="none" strike="noStrike">
                  <a:solidFill>
                    <a:srgbClr val="000000"/>
                  </a:solidFill>
                  <a:latin typeface="+mn-lt"/>
                  <a:cs typeface="Calibri"/>
                </a:rPr>
                <a:pPr/>
                <a:t>(73%)</a:t>
              </a:fld>
              <a:endParaRPr lang="en-US" sz="1400">
                <a:latin typeface="+mn-lt"/>
              </a:endParaRPr>
            </a:p>
          </xdr:txBody>
        </xdr:sp>
        <xdr:sp macro="" textlink="">
          <xdr:nvSpPr>
            <xdr:cNvPr id="183" name="TextBox 182">
              <a:extLst>
                <a:ext uri="{FF2B5EF4-FFF2-40B4-BE49-F238E27FC236}">
                  <a16:creationId xmlns:a16="http://schemas.microsoft.com/office/drawing/2014/main" id="{00000000-0008-0000-0400-0000B7000000}"/>
                </a:ext>
              </a:extLst>
            </xdr:cNvPr>
            <xdr:cNvSpPr txBox="1"/>
          </xdr:nvSpPr>
          <xdr:spPr>
            <a:xfrm>
              <a:off x="7625414" y="25872281"/>
              <a:ext cx="870839" cy="343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Bike cage</a:t>
              </a:r>
              <a:endParaRPr lang="en-US" sz="1400" baseline="0"/>
            </a:p>
          </xdr:txBody>
        </xdr:sp>
        <xdr:sp macro="" textlink="$AJ$68">
          <xdr:nvSpPr>
            <xdr:cNvPr id="184" name="TextBox 183">
              <a:extLst>
                <a:ext uri="{FF2B5EF4-FFF2-40B4-BE49-F238E27FC236}">
                  <a16:creationId xmlns:a16="http://schemas.microsoft.com/office/drawing/2014/main" id="{00000000-0008-0000-0400-0000B8000000}"/>
                </a:ext>
              </a:extLst>
            </xdr:cNvPr>
            <xdr:cNvSpPr txBox="1"/>
          </xdr:nvSpPr>
          <xdr:spPr>
            <a:xfrm>
              <a:off x="8894431" y="25857261"/>
              <a:ext cx="228600"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D1C97532-F455-47F3-97E8-F0B97604CDB3}" type="TxLink">
                <a:rPr lang="en-US" sz="1400" b="0" i="0" u="none" strike="noStrike">
                  <a:solidFill>
                    <a:srgbClr val="000000"/>
                  </a:solidFill>
                  <a:latin typeface="+mn-lt"/>
                  <a:cs typeface="Calibri"/>
                </a:rPr>
                <a:pPr/>
                <a:t>0</a:t>
              </a:fld>
              <a:endParaRPr lang="en-US" sz="1400">
                <a:latin typeface="+mn-lt"/>
              </a:endParaRPr>
            </a:p>
          </xdr:txBody>
        </xdr:sp>
        <xdr:sp macro="" textlink="$AJ$69">
          <xdr:nvSpPr>
            <xdr:cNvPr id="191" name="TextBox 190">
              <a:extLst>
                <a:ext uri="{FF2B5EF4-FFF2-40B4-BE49-F238E27FC236}">
                  <a16:creationId xmlns:a16="http://schemas.microsoft.com/office/drawing/2014/main" id="{00000000-0008-0000-0400-0000BF000000}"/>
                </a:ext>
              </a:extLst>
            </xdr:cNvPr>
            <xdr:cNvSpPr txBox="1"/>
          </xdr:nvSpPr>
          <xdr:spPr>
            <a:xfrm>
              <a:off x="9189703" y="25866789"/>
              <a:ext cx="228600"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1195F1E6-14A2-4607-A588-4EE5E9E40B82}" type="TxLink">
                <a:rPr lang="en-US" sz="1400" b="0" i="0" u="none" strike="noStrike">
                  <a:solidFill>
                    <a:srgbClr val="000000"/>
                  </a:solidFill>
                  <a:latin typeface="+mn-lt"/>
                  <a:cs typeface="Calibri"/>
                </a:rPr>
                <a:pPr/>
                <a:t>(0%)</a:t>
              </a:fld>
              <a:endParaRPr lang="en-US" sz="1400">
                <a:latin typeface="+mn-lt"/>
              </a:endParaRPr>
            </a:p>
          </xdr:txBody>
        </xdr:sp>
      </xdr:grpSp>
      <xdr:sp macro="" textlink="">
        <xdr:nvSpPr>
          <xdr:cNvPr id="206" name="TextBox 205">
            <a:extLst>
              <a:ext uri="{FF2B5EF4-FFF2-40B4-BE49-F238E27FC236}">
                <a16:creationId xmlns:a16="http://schemas.microsoft.com/office/drawing/2014/main" id="{00000000-0008-0000-0400-0000CE000000}"/>
              </a:ext>
            </a:extLst>
          </xdr:cNvPr>
          <xdr:cNvSpPr txBox="1"/>
        </xdr:nvSpPr>
        <xdr:spPr>
          <a:xfrm>
            <a:off x="7912100" y="26342126"/>
            <a:ext cx="1201876" cy="343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400"/>
              <a:t>Total</a:t>
            </a:r>
            <a:endParaRPr lang="en-US" sz="1400" baseline="0"/>
          </a:p>
        </xdr:txBody>
      </xdr:sp>
      <xdr:sp macro="" textlink="$AK$68">
        <xdr:nvSpPr>
          <xdr:cNvPr id="207" name="TextBox 206">
            <a:extLst>
              <a:ext uri="{FF2B5EF4-FFF2-40B4-BE49-F238E27FC236}">
                <a16:creationId xmlns:a16="http://schemas.microsoft.com/office/drawing/2014/main" id="{00000000-0008-0000-0400-0000CF000000}"/>
              </a:ext>
            </a:extLst>
          </xdr:cNvPr>
          <xdr:cNvSpPr txBox="1"/>
        </xdr:nvSpPr>
        <xdr:spPr>
          <a:xfrm>
            <a:off x="9612715" y="26339800"/>
            <a:ext cx="315499" cy="228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AB1C799E-7D37-43D2-A850-1606E09DC000}" type="TxLink">
              <a:rPr lang="en-US" sz="1400" b="0" i="0" u="none" strike="noStrike">
                <a:solidFill>
                  <a:srgbClr val="000000"/>
                </a:solidFill>
                <a:latin typeface="+mn-lt"/>
                <a:cs typeface="Calibri"/>
              </a:rPr>
              <a:pPr/>
              <a:t>431</a:t>
            </a:fld>
            <a:endParaRPr lang="en-US" sz="1400">
              <a:latin typeface="+mn-lt"/>
            </a:endParaRPr>
          </a:p>
        </xdr:txBody>
      </xdr:sp>
      <xdr:sp macro="" textlink="$AK$69">
        <xdr:nvSpPr>
          <xdr:cNvPr id="208" name="TextBox 207">
            <a:extLst>
              <a:ext uri="{FF2B5EF4-FFF2-40B4-BE49-F238E27FC236}">
                <a16:creationId xmlns:a16="http://schemas.microsoft.com/office/drawing/2014/main" id="{00000000-0008-0000-0400-0000D0000000}"/>
              </a:ext>
            </a:extLst>
          </xdr:cNvPr>
          <xdr:cNvSpPr txBox="1"/>
        </xdr:nvSpPr>
        <xdr:spPr>
          <a:xfrm>
            <a:off x="10032931" y="26349332"/>
            <a:ext cx="315499" cy="228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fld id="{24627145-2426-422D-A0C5-5CA727254AA1}" type="TxLink">
              <a:rPr lang="en-US" sz="1400" b="0" i="0" u="none" strike="noStrike">
                <a:solidFill>
                  <a:srgbClr val="000000"/>
                </a:solidFill>
                <a:latin typeface="+mn-lt"/>
                <a:cs typeface="Calibri"/>
              </a:rPr>
              <a:pPr/>
              <a:t>(100%)</a:t>
            </a:fld>
            <a:endParaRPr lang="en-US" sz="1400">
              <a:latin typeface="+mn-lt"/>
            </a:endParaRPr>
          </a:p>
        </xdr:txBody>
      </xdr:sp>
    </xdr:grpSp>
    <xdr:clientData/>
  </xdr:twoCellAnchor>
  <mc:AlternateContent xmlns:mc="http://schemas.openxmlformats.org/markup-compatibility/2006">
    <mc:Choice xmlns:a14="http://schemas.microsoft.com/office/drawing/2010/main" Requires="a14">
      <xdr:twoCellAnchor editAs="oneCell">
        <xdr:from>
          <xdr:col>38</xdr:col>
          <xdr:colOff>133350</xdr:colOff>
          <xdr:row>2</xdr:row>
          <xdr:rowOff>123825</xdr:rowOff>
        </xdr:from>
        <xdr:to>
          <xdr:col>42</xdr:col>
          <xdr:colOff>361950</xdr:colOff>
          <xdr:row>6</xdr:row>
          <xdr:rowOff>38100</xdr:rowOff>
        </xdr:to>
        <xdr:sp macro="" textlink="">
          <xdr:nvSpPr>
            <xdr:cNvPr id="20481" name="CommandButton1" hidden="1">
              <a:extLst>
                <a:ext uri="{63B3BB69-23CF-44E3-9099-C40C66FF867C}">
                  <a14:compatExt spid="_x0000_s20481"/>
                </a:ext>
                <a:ext uri="{FF2B5EF4-FFF2-40B4-BE49-F238E27FC236}">
                  <a16:creationId xmlns:a16="http://schemas.microsoft.com/office/drawing/2014/main" id="{00000000-0008-0000-04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658374</xdr:colOff>
      <xdr:row>0</xdr:row>
      <xdr:rowOff>19050</xdr:rowOff>
    </xdr:from>
    <xdr:to>
      <xdr:col>0</xdr:col>
      <xdr:colOff>1208526</xdr:colOff>
      <xdr:row>1</xdr:row>
      <xdr:rowOff>175932</xdr:rowOff>
    </xdr:to>
    <xdr:pic>
      <xdr:nvPicPr>
        <xdr:cNvPr id="2" name="Picture 1" descr="C:\Users\thenry\Desktop\500px-Bart-logo.svg_.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tretch>
          <a:fillRect/>
        </a:stretch>
      </xdr:blipFill>
      <xdr:spPr bwMode="auto">
        <a:xfrm>
          <a:off x="658374" y="19050"/>
          <a:ext cx="550152" cy="347382"/>
        </a:xfrm>
        <a:prstGeom prst="rect">
          <a:avLst/>
        </a:prstGeom>
        <a:noFill/>
        <a:ln w="9525">
          <a:noFill/>
          <a:miter lim="800000"/>
          <a:headEnd/>
          <a:tailEnd/>
        </a:ln>
      </xdr:spPr>
    </xdr:pic>
    <xdr:clientData/>
  </xdr:twoCellAnchor>
  <xdr:twoCellAnchor>
    <xdr:from>
      <xdr:col>0</xdr:col>
      <xdr:colOff>38101</xdr:colOff>
      <xdr:row>4</xdr:row>
      <xdr:rowOff>47626</xdr:rowOff>
    </xdr:from>
    <xdr:to>
      <xdr:col>2</xdr:col>
      <xdr:colOff>1114425</xdr:colOff>
      <xdr:row>5</xdr:row>
      <xdr:rowOff>142876</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8101" y="809626"/>
          <a:ext cx="5448299" cy="285750"/>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000" b="1" i="1" baseline="0">
              <a:latin typeface="Arial" pitchFamily="34" charset="0"/>
              <a:cs typeface="Arial" pitchFamily="34" charset="0"/>
            </a:rPr>
            <a:t>Note that there are not increases in ridership or costs associated with these strategies.</a:t>
          </a:r>
          <a:endParaRPr lang="en-US" sz="1000" b="1" i="1">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200025</xdr:colOff>
          <xdr:row>8</xdr:row>
          <xdr:rowOff>180975</xdr:rowOff>
        </xdr:from>
        <xdr:to>
          <xdr:col>1</xdr:col>
          <xdr:colOff>504825</xdr:colOff>
          <xdr:row>10</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xdr:row>
          <xdr:rowOff>180975</xdr:rowOff>
        </xdr:from>
        <xdr:to>
          <xdr:col>1</xdr:col>
          <xdr:colOff>504825</xdr:colOff>
          <xdr:row>12</xdr:row>
          <xdr:rowOff>19050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xdr:row>
          <xdr:rowOff>180975</xdr:rowOff>
        </xdr:from>
        <xdr:to>
          <xdr:col>1</xdr:col>
          <xdr:colOff>504825</xdr:colOff>
          <xdr:row>14</xdr:row>
          <xdr:rowOff>19050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xdr:row>
          <xdr:rowOff>180975</xdr:rowOff>
        </xdr:from>
        <xdr:to>
          <xdr:col>1</xdr:col>
          <xdr:colOff>504825</xdr:colOff>
          <xdr:row>11</xdr:row>
          <xdr:rowOff>19050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11</xdr:row>
          <xdr:rowOff>180975</xdr:rowOff>
        </xdr:from>
        <xdr:to>
          <xdr:col>1</xdr:col>
          <xdr:colOff>504825</xdr:colOff>
          <xdr:row>13</xdr:row>
          <xdr:rowOff>19050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15</xdr:row>
          <xdr:rowOff>190500</xdr:rowOff>
        </xdr:from>
        <xdr:to>
          <xdr:col>1</xdr:col>
          <xdr:colOff>504825</xdr:colOff>
          <xdr:row>17</xdr:row>
          <xdr:rowOff>9525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18</xdr:row>
          <xdr:rowOff>190500</xdr:rowOff>
        </xdr:from>
        <xdr:to>
          <xdr:col>1</xdr:col>
          <xdr:colOff>504825</xdr:colOff>
          <xdr:row>20</xdr:row>
          <xdr:rowOff>9525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24</xdr:row>
          <xdr:rowOff>190500</xdr:rowOff>
        </xdr:from>
        <xdr:to>
          <xdr:col>1</xdr:col>
          <xdr:colOff>504825</xdr:colOff>
          <xdr:row>26</xdr:row>
          <xdr:rowOff>9525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5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25</xdr:row>
          <xdr:rowOff>171450</xdr:rowOff>
        </xdr:from>
        <xdr:to>
          <xdr:col>1</xdr:col>
          <xdr:colOff>504825</xdr:colOff>
          <xdr:row>27</xdr:row>
          <xdr:rowOff>9525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5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31</xdr:row>
          <xdr:rowOff>190500</xdr:rowOff>
        </xdr:from>
        <xdr:to>
          <xdr:col>1</xdr:col>
          <xdr:colOff>504825</xdr:colOff>
          <xdr:row>33</xdr:row>
          <xdr:rowOff>9525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5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26</xdr:row>
          <xdr:rowOff>171450</xdr:rowOff>
        </xdr:from>
        <xdr:to>
          <xdr:col>1</xdr:col>
          <xdr:colOff>504825</xdr:colOff>
          <xdr:row>28</xdr:row>
          <xdr:rowOff>9525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5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27</xdr:row>
          <xdr:rowOff>171450</xdr:rowOff>
        </xdr:from>
        <xdr:to>
          <xdr:col>1</xdr:col>
          <xdr:colOff>504825</xdr:colOff>
          <xdr:row>29</xdr:row>
          <xdr:rowOff>9525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5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40</xdr:row>
          <xdr:rowOff>180975</xdr:rowOff>
        </xdr:from>
        <xdr:to>
          <xdr:col>1</xdr:col>
          <xdr:colOff>504825</xdr:colOff>
          <xdr:row>42</xdr:row>
          <xdr:rowOff>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5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41</xdr:row>
          <xdr:rowOff>180975</xdr:rowOff>
        </xdr:from>
        <xdr:to>
          <xdr:col>1</xdr:col>
          <xdr:colOff>504825</xdr:colOff>
          <xdr:row>43</xdr:row>
          <xdr:rowOff>19050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5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42</xdr:row>
          <xdr:rowOff>180975</xdr:rowOff>
        </xdr:from>
        <xdr:to>
          <xdr:col>1</xdr:col>
          <xdr:colOff>504825</xdr:colOff>
          <xdr:row>44</xdr:row>
          <xdr:rowOff>19050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5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56</xdr:row>
          <xdr:rowOff>180975</xdr:rowOff>
        </xdr:from>
        <xdr:to>
          <xdr:col>1</xdr:col>
          <xdr:colOff>504825</xdr:colOff>
          <xdr:row>58</xdr:row>
          <xdr:rowOff>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5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57</xdr:row>
          <xdr:rowOff>180975</xdr:rowOff>
        </xdr:from>
        <xdr:to>
          <xdr:col>1</xdr:col>
          <xdr:colOff>504825</xdr:colOff>
          <xdr:row>59</xdr:row>
          <xdr:rowOff>19050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5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60</xdr:row>
          <xdr:rowOff>190500</xdr:rowOff>
        </xdr:from>
        <xdr:to>
          <xdr:col>1</xdr:col>
          <xdr:colOff>504825</xdr:colOff>
          <xdr:row>62</xdr:row>
          <xdr:rowOff>9525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5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72</xdr:row>
          <xdr:rowOff>180975</xdr:rowOff>
        </xdr:from>
        <xdr:to>
          <xdr:col>1</xdr:col>
          <xdr:colOff>504825</xdr:colOff>
          <xdr:row>74</xdr:row>
          <xdr:rowOff>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5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73</xdr:row>
          <xdr:rowOff>180975</xdr:rowOff>
        </xdr:from>
        <xdr:to>
          <xdr:col>1</xdr:col>
          <xdr:colOff>504825</xdr:colOff>
          <xdr:row>75</xdr:row>
          <xdr:rowOff>19050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5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74</xdr:row>
          <xdr:rowOff>171450</xdr:rowOff>
        </xdr:from>
        <xdr:to>
          <xdr:col>1</xdr:col>
          <xdr:colOff>504825</xdr:colOff>
          <xdr:row>76</xdr:row>
          <xdr:rowOff>9525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5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79</xdr:row>
          <xdr:rowOff>190500</xdr:rowOff>
        </xdr:from>
        <xdr:to>
          <xdr:col>1</xdr:col>
          <xdr:colOff>504825</xdr:colOff>
          <xdr:row>81</xdr:row>
          <xdr:rowOff>9525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5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75</xdr:row>
          <xdr:rowOff>171450</xdr:rowOff>
        </xdr:from>
        <xdr:to>
          <xdr:col>1</xdr:col>
          <xdr:colOff>504825</xdr:colOff>
          <xdr:row>77</xdr:row>
          <xdr:rowOff>9525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5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76</xdr:row>
          <xdr:rowOff>190500</xdr:rowOff>
        </xdr:from>
        <xdr:to>
          <xdr:col>1</xdr:col>
          <xdr:colOff>504825</xdr:colOff>
          <xdr:row>78</xdr:row>
          <xdr:rowOff>28575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5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80</xdr:row>
          <xdr:rowOff>180975</xdr:rowOff>
        </xdr:from>
        <xdr:to>
          <xdr:col>1</xdr:col>
          <xdr:colOff>504825</xdr:colOff>
          <xdr:row>82</xdr:row>
          <xdr:rowOff>19050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5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3</xdr:col>
      <xdr:colOff>178760</xdr:colOff>
      <xdr:row>0</xdr:row>
      <xdr:rowOff>22412</xdr:rowOff>
    </xdr:from>
    <xdr:to>
      <xdr:col>3</xdr:col>
      <xdr:colOff>728912</xdr:colOff>
      <xdr:row>1</xdr:row>
      <xdr:rowOff>179294</xdr:rowOff>
    </xdr:to>
    <xdr:pic>
      <xdr:nvPicPr>
        <xdr:cNvPr id="5" name="Picture 4" descr="C:\Users\thenry\Desktop\500px-Bart-logo.svg_.png">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cstate="print"/>
        <a:stretch>
          <a:fillRect/>
        </a:stretch>
      </xdr:blipFill>
      <xdr:spPr bwMode="auto">
        <a:xfrm>
          <a:off x="3569660" y="22412"/>
          <a:ext cx="550152" cy="347382"/>
        </a:xfrm>
        <a:prstGeom prst="rect">
          <a:avLst/>
        </a:prstGeom>
        <a:noFill/>
        <a:ln w="9525">
          <a:noFill/>
          <a:miter lim="800000"/>
          <a:headEnd/>
          <a:tailEnd/>
        </a:ln>
      </xdr:spPr>
    </xdr:pic>
    <xdr:clientData/>
  </xdr:twoCellAnchor>
  <xdr:twoCellAnchor>
    <xdr:from>
      <xdr:col>0</xdr:col>
      <xdr:colOff>56028</xdr:colOff>
      <xdr:row>11</xdr:row>
      <xdr:rowOff>44826</xdr:rowOff>
    </xdr:from>
    <xdr:to>
      <xdr:col>12</xdr:col>
      <xdr:colOff>605118</xdr:colOff>
      <xdr:row>12</xdr:row>
      <xdr:rowOff>228601</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56028" y="3435726"/>
          <a:ext cx="12979215" cy="650500"/>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i="1">
              <a:latin typeface="Arial" pitchFamily="34" charset="0"/>
              <a:cs typeface="Arial" pitchFamily="34" charset="0"/>
            </a:rPr>
            <a:t>Summary</a:t>
          </a:r>
          <a:r>
            <a:rPr lang="en-US" sz="1100" b="1" i="1" baseline="0">
              <a:latin typeface="Arial" pitchFamily="34" charset="0"/>
              <a:cs typeface="Arial" pitchFamily="34" charset="0"/>
            </a:rPr>
            <a:t> of chosen bicycle parking investments and their costs and influences on ridership.</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1" i="1" baseline="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1" i="1" baseline="0">
              <a:latin typeface="Arial" pitchFamily="34" charset="0"/>
              <a:cs typeface="Arial" pitchFamily="34" charset="0"/>
            </a:rPr>
            <a:t>These costs are then compared against automobile parking investments.</a:t>
          </a:r>
          <a:endParaRPr lang="en-US" sz="1100" b="1" i="1">
            <a:latin typeface="Arial" pitchFamily="34" charset="0"/>
            <a:cs typeface="Arial" pitchFamily="34" charset="0"/>
          </a:endParaRPr>
        </a:p>
      </xdr:txBody>
    </xdr:sp>
    <xdr:clientData/>
  </xdr:twoCellAnchor>
  <xdr:twoCellAnchor>
    <xdr:from>
      <xdr:col>0</xdr:col>
      <xdr:colOff>78441</xdr:colOff>
      <xdr:row>36</xdr:row>
      <xdr:rowOff>44822</xdr:rowOff>
    </xdr:from>
    <xdr:to>
      <xdr:col>12</xdr:col>
      <xdr:colOff>1961031</xdr:colOff>
      <xdr:row>37</xdr:row>
      <xdr:rowOff>448234</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78441" y="11497234"/>
          <a:ext cx="12841943" cy="896471"/>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i="1">
              <a:latin typeface="Arial" pitchFamily="34" charset="0"/>
              <a:cs typeface="Arial" pitchFamily="34" charset="0"/>
            </a:rPr>
            <a:t>List</a:t>
          </a:r>
          <a:r>
            <a:rPr lang="en-US" sz="1100" b="1" i="1" baseline="0">
              <a:latin typeface="Arial" pitchFamily="34" charset="0"/>
              <a:cs typeface="Arial" pitchFamily="34" charset="0"/>
            </a:rPr>
            <a:t> of selected station-level strategies.</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1" i="1" baseline="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1" i="1" baseline="0">
              <a:latin typeface="Arial" pitchFamily="34" charset="0"/>
              <a:cs typeface="Arial" pitchFamily="34" charset="0"/>
            </a:rPr>
            <a:t>This version of the Bicycle Investment Tool does not estimate increases in ridership or costs associated with support strategies due to a lack of data about these relationships. It is the hope that as more before/after data is collected when these investments are made, future iterations of the Tool will be able to make these estimates.</a:t>
          </a:r>
          <a:endParaRPr lang="en-US" sz="1100" b="1" i="1">
            <a:latin typeface="Arial" pitchFamily="34" charset="0"/>
            <a:cs typeface="Arial" pitchFamily="34" charset="0"/>
          </a:endParaRPr>
        </a:p>
      </xdr:txBody>
    </xdr:sp>
    <xdr:clientData/>
  </xdr:twoCellAnchor>
  <xdr:twoCellAnchor>
    <xdr:from>
      <xdr:col>0</xdr:col>
      <xdr:colOff>67235</xdr:colOff>
      <xdr:row>48</xdr:row>
      <xdr:rowOff>78442</xdr:rowOff>
    </xdr:from>
    <xdr:to>
      <xdr:col>12</xdr:col>
      <xdr:colOff>1949825</xdr:colOff>
      <xdr:row>49</xdr:row>
      <xdr:rowOff>448235</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67235" y="18926736"/>
          <a:ext cx="12841943" cy="862852"/>
        </a:xfrm>
        <a:prstGeom prst="rect">
          <a:avLst/>
        </a:prstGeom>
        <a:solidFill>
          <a:schemeClr val="accent1">
            <a:lumMod val="40000"/>
            <a:lumOff val="60000"/>
          </a:schemeClr>
        </a:solidFill>
        <a:ln w="9525" cmpd="sng">
          <a:solidFill>
            <a:schemeClr val="accent1">
              <a:lumMod val="60000"/>
              <a:lumOff val="40000"/>
            </a:schemeClr>
          </a:solidFill>
        </a:ln>
        <a:scene3d>
          <a:camera prst="orthographicFront"/>
          <a:lightRig rig="flat" dir="t"/>
        </a:scene3d>
        <a:sp3d prstMaterial="powder">
          <a:bevelT w="0" h="0"/>
          <a:bevelB w="0" h="0"/>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i="1">
              <a:latin typeface="Arial" pitchFamily="34" charset="0"/>
              <a:cs typeface="Arial" pitchFamily="34" charset="0"/>
            </a:rPr>
            <a:t>List</a:t>
          </a:r>
          <a:r>
            <a:rPr lang="en-US" sz="1100" b="1" i="1" baseline="0">
              <a:latin typeface="Arial" pitchFamily="34" charset="0"/>
              <a:cs typeface="Arial" pitchFamily="34" charset="0"/>
            </a:rPr>
            <a:t> of selected system-wide level strategies.</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1" i="1" baseline="0">
            <a:latin typeface="Arial" pitchFamily="34" charset="0"/>
            <a:cs typeface="Arial" pitchFamily="34" charset="0"/>
          </a:endParaRPr>
        </a:p>
        <a:p>
          <a:pPr eaLnBrk="1" fontAlgn="auto" latinLnBrk="0" hangingPunct="1"/>
          <a:r>
            <a:rPr lang="en-US" sz="1100" b="1" i="1" baseline="0">
              <a:solidFill>
                <a:schemeClr val="dk1"/>
              </a:solidFill>
              <a:latin typeface="Arial" pitchFamily="34" charset="0"/>
              <a:ea typeface="+mn-ea"/>
              <a:cs typeface="Arial" pitchFamily="34" charset="0"/>
            </a:rPr>
            <a:t>This version of the Bicycle Investment Tool does not estimate increases in ridership or costs associated with support strategies due to a lack of data about these relationships. It is the hope that as more before/after data is collected when these investments are made, future iterations of the Tool will be able to make these estimates.</a:t>
          </a:r>
          <a:endParaRPr lang="en-US" sz="1100" b="1" i="1">
            <a:solidFill>
              <a:schemeClr val="dk1"/>
            </a:solidFill>
            <a:latin typeface="Arial" pitchFamily="34" charset="0"/>
            <a:ea typeface="+mn-ea"/>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13</xdr:col>
          <xdr:colOff>57150</xdr:colOff>
          <xdr:row>0</xdr:row>
          <xdr:rowOff>57150</xdr:rowOff>
        </xdr:from>
        <xdr:to>
          <xdr:col>15</xdr:col>
          <xdr:colOff>1009650</xdr:colOff>
          <xdr:row>3</xdr:row>
          <xdr:rowOff>171450</xdr:rowOff>
        </xdr:to>
        <xdr:sp macro="" textlink="">
          <xdr:nvSpPr>
            <xdr:cNvPr id="18435" name="CommandButton1"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xdr:row>
          <xdr:rowOff>180975</xdr:rowOff>
        </xdr:from>
        <xdr:to>
          <xdr:col>15</xdr:col>
          <xdr:colOff>1000125</xdr:colOff>
          <xdr:row>6</xdr:row>
          <xdr:rowOff>295275</xdr:rowOff>
        </xdr:to>
        <xdr:sp macro="" textlink="">
          <xdr:nvSpPr>
            <xdr:cNvPr id="18436" name="CommandButton2"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590550</xdr:colOff>
          <xdr:row>1</xdr:row>
          <xdr:rowOff>38100</xdr:rowOff>
        </xdr:from>
        <xdr:to>
          <xdr:col>5</xdr:col>
          <xdr:colOff>428625</xdr:colOff>
          <xdr:row>4</xdr:row>
          <xdr:rowOff>142875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0900-000001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Scroll Lock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600075</xdr:colOff>
          <xdr:row>7</xdr:row>
          <xdr:rowOff>28575</xdr:rowOff>
        </xdr:from>
        <xdr:to>
          <xdr:col>5</xdr:col>
          <xdr:colOff>438150</xdr:colOff>
          <xdr:row>10</xdr:row>
          <xdr:rowOff>133350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900-000002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Scroll Un-Lock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352425</xdr:colOff>
          <xdr:row>1</xdr:row>
          <xdr:rowOff>133350</xdr:rowOff>
        </xdr:from>
        <xdr:to>
          <xdr:col>11</xdr:col>
          <xdr:colOff>381000</xdr:colOff>
          <xdr:row>5</xdr:row>
          <xdr:rowOff>114300</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900-000003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Protect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485775</xdr:colOff>
          <xdr:row>6</xdr:row>
          <xdr:rowOff>171450</xdr:rowOff>
        </xdr:from>
        <xdr:to>
          <xdr:col>11</xdr:col>
          <xdr:colOff>438150</xdr:colOff>
          <xdr:row>11</xdr:row>
          <xdr:rowOff>57150</xdr:rowOff>
        </xdr:to>
        <xdr:sp macro="" textlink="">
          <xdr:nvSpPr>
            <xdr:cNvPr id="21508" name="Button 4" hidden="1">
              <a:extLst>
                <a:ext uri="{63B3BB69-23CF-44E3-9099-C40C66FF867C}">
                  <a14:compatExt spid="_x0000_s21508"/>
                </a:ext>
                <a:ext uri="{FF2B5EF4-FFF2-40B4-BE49-F238E27FC236}">
                  <a16:creationId xmlns:a16="http://schemas.microsoft.com/office/drawing/2014/main" id="{00000000-0008-0000-0900-000004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UnProtect All</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 Type="http://schemas.openxmlformats.org/officeDocument/2006/relationships/vmlDrawing" Target="../drawings/vmlDrawing3.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2" Type="http://schemas.openxmlformats.org/officeDocument/2006/relationships/drawing" Target="../drawings/drawing6.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5.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6.emf"/><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ntrol" Target="../activeX/activeX3.xml"/><Relationship Id="rId5" Type="http://schemas.openxmlformats.org/officeDocument/2006/relationships/image" Target="../media/image5.emf"/><Relationship Id="rId4" Type="http://schemas.openxmlformats.org/officeDocument/2006/relationships/control" Target="../activeX/activeX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88.x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C00000"/>
  </sheetPr>
  <dimension ref="A1:BM65"/>
  <sheetViews>
    <sheetView tabSelected="1" zoomScaleNormal="100" workbookViewId="0">
      <pane ySplit="5" topLeftCell="A6" activePane="bottomLeft" state="frozen"/>
      <selection pane="bottomLeft" activeCell="A6" sqref="A6"/>
    </sheetView>
  </sheetViews>
  <sheetFormatPr defaultRowHeight="15" x14ac:dyDescent="0.25"/>
  <cols>
    <col min="1" max="1" width="9.140625" style="167"/>
    <col min="2" max="2" width="11.140625" style="167" bestFit="1" customWidth="1"/>
    <col min="3" max="3" width="48.5703125" style="167" bestFit="1" customWidth="1"/>
    <col min="4" max="4" width="11" style="167" customWidth="1"/>
    <col min="5" max="5" width="9.140625" style="167"/>
    <col min="6" max="6" width="19.28515625" style="167" customWidth="1"/>
    <col min="7" max="7" width="15.42578125" style="167" bestFit="1" customWidth="1"/>
    <col min="8" max="11" width="9.140625" style="167"/>
    <col min="12" max="12" width="6.5703125" style="167" customWidth="1"/>
    <col min="13" max="16384" width="9.140625" style="167"/>
  </cols>
  <sheetData>
    <row r="1" spans="1:65" ht="15" customHeight="1" x14ac:dyDescent="0.25">
      <c r="A1" s="373" t="s">
        <v>154</v>
      </c>
      <c r="B1" s="374"/>
      <c r="C1" s="374"/>
      <c r="D1" s="374"/>
      <c r="E1" s="374"/>
      <c r="F1" s="374"/>
      <c r="G1" s="374"/>
      <c r="H1" s="374"/>
      <c r="I1" s="374"/>
      <c r="J1" s="374"/>
      <c r="K1" s="374"/>
      <c r="L1" s="375"/>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row>
    <row r="2" spans="1:65" ht="15" customHeight="1" x14ac:dyDescent="0.25">
      <c r="A2" s="376"/>
      <c r="B2" s="377"/>
      <c r="C2" s="377"/>
      <c r="D2" s="377"/>
      <c r="E2" s="377"/>
      <c r="F2" s="377"/>
      <c r="G2" s="377"/>
      <c r="H2" s="377"/>
      <c r="I2" s="377"/>
      <c r="J2" s="377"/>
      <c r="K2" s="377"/>
      <c r="L2" s="378"/>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row>
    <row r="3" spans="1:65" ht="15" customHeight="1" x14ac:dyDescent="0.25">
      <c r="A3" s="376"/>
      <c r="B3" s="377"/>
      <c r="C3" s="377"/>
      <c r="D3" s="377"/>
      <c r="E3" s="377"/>
      <c r="F3" s="377"/>
      <c r="G3" s="377"/>
      <c r="H3" s="377"/>
      <c r="I3" s="377"/>
      <c r="J3" s="377"/>
      <c r="K3" s="377"/>
      <c r="L3" s="378"/>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row>
    <row r="4" spans="1:65" ht="15" customHeight="1" x14ac:dyDescent="0.25">
      <c r="A4" s="382" t="s">
        <v>316</v>
      </c>
      <c r="B4" s="383"/>
      <c r="C4" s="383"/>
      <c r="D4" s="383"/>
      <c r="E4" s="383"/>
      <c r="F4" s="383"/>
      <c r="G4" s="383"/>
      <c r="H4" s="383"/>
      <c r="I4" s="383"/>
      <c r="J4" s="383"/>
      <c r="K4" s="383"/>
      <c r="L4" s="384"/>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row>
    <row r="5" spans="1:65" ht="15" customHeight="1" x14ac:dyDescent="0.25">
      <c r="A5" s="385"/>
      <c r="B5" s="386"/>
      <c r="C5" s="386"/>
      <c r="D5" s="386"/>
      <c r="E5" s="386"/>
      <c r="F5" s="386"/>
      <c r="G5" s="386"/>
      <c r="H5" s="386"/>
      <c r="I5" s="386"/>
      <c r="J5" s="386"/>
      <c r="K5" s="386"/>
      <c r="L5" s="387"/>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row>
    <row r="6" spans="1:65" x14ac:dyDescent="0.25">
      <c r="A6" s="264"/>
      <c r="B6" s="157"/>
      <c r="C6" s="157"/>
      <c r="D6" s="157"/>
      <c r="E6" s="157"/>
      <c r="F6" s="157"/>
      <c r="G6" s="157"/>
      <c r="H6" s="157"/>
      <c r="I6" s="157"/>
      <c r="J6" s="157"/>
      <c r="K6" s="157"/>
      <c r="L6" s="265"/>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row>
    <row r="7" spans="1:65" x14ac:dyDescent="0.25">
      <c r="A7" s="264"/>
      <c r="B7" s="258"/>
      <c r="C7" s="258"/>
      <c r="D7" s="258"/>
      <c r="E7" s="157"/>
      <c r="F7" s="266"/>
      <c r="G7" s="266"/>
      <c r="H7" s="266"/>
      <c r="I7" s="266"/>
      <c r="J7" s="266"/>
      <c r="K7" s="157"/>
      <c r="L7" s="265"/>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row>
    <row r="8" spans="1:65" x14ac:dyDescent="0.25">
      <c r="A8" s="264"/>
      <c r="B8" s="258"/>
      <c r="C8" s="258"/>
      <c r="D8" s="258"/>
      <c r="E8" s="157"/>
      <c r="F8" s="266"/>
      <c r="G8" s="266"/>
      <c r="H8" s="266"/>
      <c r="I8" s="266"/>
      <c r="J8" s="266"/>
      <c r="K8" s="157"/>
      <c r="L8" s="265"/>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row>
    <row r="9" spans="1:65" ht="18" x14ac:dyDescent="0.25">
      <c r="A9" s="264"/>
      <c r="B9" s="379" t="s">
        <v>282</v>
      </c>
      <c r="C9" s="380"/>
      <c r="D9" s="258"/>
      <c r="E9" s="157"/>
      <c r="F9" s="379" t="s">
        <v>283</v>
      </c>
      <c r="G9" s="381"/>
      <c r="H9" s="381"/>
      <c r="I9" s="381"/>
      <c r="J9" s="381"/>
      <c r="K9" s="380"/>
      <c r="L9" s="265"/>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row>
    <row r="10" spans="1:65" ht="15.75" x14ac:dyDescent="0.25">
      <c r="A10" s="264"/>
      <c r="B10" s="267" t="s">
        <v>155</v>
      </c>
      <c r="C10" s="268" t="s">
        <v>321</v>
      </c>
      <c r="D10" s="266"/>
      <c r="E10" s="157"/>
      <c r="F10" s="335" t="s">
        <v>274</v>
      </c>
      <c r="G10" s="336"/>
      <c r="H10" s="336"/>
      <c r="I10" s="336"/>
      <c r="J10" s="336"/>
      <c r="K10" s="337"/>
      <c r="L10" s="265"/>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row>
    <row r="11" spans="1:65" ht="15" customHeight="1" x14ac:dyDescent="0.25">
      <c r="A11" s="264"/>
      <c r="B11" s="269" t="s">
        <v>318</v>
      </c>
      <c r="C11" s="268" t="s">
        <v>11</v>
      </c>
      <c r="D11" s="266"/>
      <c r="E11" s="157"/>
      <c r="F11" s="335" t="s">
        <v>273</v>
      </c>
      <c r="G11" s="336"/>
      <c r="H11" s="336"/>
      <c r="I11" s="336"/>
      <c r="J11" s="336"/>
      <c r="K11" s="337"/>
      <c r="L11" s="265"/>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row>
    <row r="12" spans="1:65" ht="15" customHeight="1" x14ac:dyDescent="0.25">
      <c r="A12" s="264"/>
      <c r="B12" s="270" t="s">
        <v>319</v>
      </c>
      <c r="C12" s="268" t="s">
        <v>320</v>
      </c>
      <c r="D12" s="157"/>
      <c r="E12" s="157"/>
      <c r="F12" s="346" t="s">
        <v>281</v>
      </c>
      <c r="G12" s="347"/>
      <c r="H12" s="347"/>
      <c r="I12" s="347"/>
      <c r="J12" s="347"/>
      <c r="K12" s="348"/>
      <c r="L12" s="265"/>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row>
    <row r="13" spans="1:65" ht="15" customHeight="1" x14ac:dyDescent="0.25">
      <c r="A13" s="264"/>
      <c r="B13" s="319" t="s">
        <v>459</v>
      </c>
      <c r="C13" s="268" t="s">
        <v>464</v>
      </c>
      <c r="D13" s="157"/>
      <c r="E13" s="157"/>
      <c r="F13" s="349"/>
      <c r="G13" s="350"/>
      <c r="H13" s="350"/>
      <c r="I13" s="350"/>
      <c r="J13" s="350"/>
      <c r="K13" s="351"/>
      <c r="L13" s="265"/>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row>
    <row r="14" spans="1:65" x14ac:dyDescent="0.25">
      <c r="A14" s="264"/>
      <c r="B14" s="271"/>
      <c r="C14" s="272"/>
      <c r="D14" s="157"/>
      <c r="E14" s="157"/>
      <c r="F14" s="352"/>
      <c r="G14" s="353"/>
      <c r="H14" s="353"/>
      <c r="I14" s="353"/>
      <c r="J14" s="353"/>
      <c r="K14" s="354"/>
      <c r="L14" s="265"/>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row>
    <row r="15" spans="1:65" x14ac:dyDescent="0.25">
      <c r="A15" s="264"/>
      <c r="B15" s="273"/>
      <c r="C15" s="274"/>
      <c r="D15" s="157"/>
      <c r="E15" s="157"/>
      <c r="F15" s="313" t="s">
        <v>463</v>
      </c>
      <c r="G15" s="275"/>
      <c r="H15" s="275"/>
      <c r="I15" s="275"/>
      <c r="J15" s="275"/>
      <c r="K15" s="276"/>
      <c r="L15" s="265"/>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row>
    <row r="16" spans="1:65" ht="15.75" x14ac:dyDescent="0.25">
      <c r="A16" s="264"/>
      <c r="B16" s="277" t="s">
        <v>271</v>
      </c>
      <c r="C16" s="268" t="s">
        <v>164</v>
      </c>
      <c r="D16" s="157"/>
      <c r="E16" s="157"/>
      <c r="F16" s="314" t="s">
        <v>276</v>
      </c>
      <c r="G16" s="306" t="s">
        <v>275</v>
      </c>
      <c r="H16" s="338" t="str">
        <f>HYPERLINK("mailto:sberold@bart.gov?subject=Calibration and validation of BART Bicycle Investment Tool to local conditions","sberold@bart.gov")</f>
        <v>sberold@bart.gov</v>
      </c>
      <c r="I16" s="338"/>
      <c r="J16" s="338"/>
      <c r="K16" s="339"/>
      <c r="L16" s="265"/>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row>
    <row r="17" spans="1:65" ht="15.75" x14ac:dyDescent="0.25">
      <c r="A17" s="264"/>
      <c r="B17" s="279" t="s">
        <v>156</v>
      </c>
      <c r="C17" s="268" t="s">
        <v>160</v>
      </c>
      <c r="D17" s="157"/>
      <c r="E17" s="157"/>
      <c r="F17" s="157"/>
      <c r="G17" s="157"/>
      <c r="H17" s="157"/>
      <c r="I17" s="157"/>
      <c r="J17" s="157"/>
      <c r="K17" s="157"/>
      <c r="L17" s="265"/>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row>
    <row r="18" spans="1:65" ht="15.75" x14ac:dyDescent="0.25">
      <c r="A18" s="264"/>
      <c r="B18" s="279" t="s">
        <v>157</v>
      </c>
      <c r="C18" s="268" t="s">
        <v>161</v>
      </c>
      <c r="D18" s="280" t="s">
        <v>258</v>
      </c>
      <c r="E18" s="157"/>
      <c r="F18" s="278"/>
      <c r="G18" s="278"/>
      <c r="H18" s="278"/>
      <c r="I18" s="278"/>
      <c r="J18" s="278"/>
      <c r="K18" s="281"/>
      <c r="L18" s="265"/>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row>
    <row r="19" spans="1:65" x14ac:dyDescent="0.25">
      <c r="A19" s="264"/>
      <c r="B19" s="271"/>
      <c r="C19" s="272"/>
      <c r="D19" s="157"/>
      <c r="E19" s="157"/>
      <c r="F19" s="388" t="s">
        <v>433</v>
      </c>
      <c r="G19" s="389"/>
      <c r="H19" s="389"/>
      <c r="I19" s="389"/>
      <c r="J19" s="389"/>
      <c r="K19" s="390"/>
      <c r="L19" s="265"/>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row>
    <row r="20" spans="1:65" x14ac:dyDescent="0.25">
      <c r="A20" s="264"/>
      <c r="B20" s="273"/>
      <c r="C20" s="274"/>
      <c r="D20" s="157"/>
      <c r="E20" s="157"/>
      <c r="F20" s="355" t="s">
        <v>434</v>
      </c>
      <c r="G20" s="356"/>
      <c r="H20" s="356"/>
      <c r="I20" s="356"/>
      <c r="J20" s="356"/>
      <c r="K20" s="357"/>
      <c r="L20" s="265"/>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row>
    <row r="21" spans="1:65" ht="15.75" x14ac:dyDescent="0.25">
      <c r="A21" s="264"/>
      <c r="B21" s="282" t="s">
        <v>158</v>
      </c>
      <c r="C21" s="268" t="s">
        <v>265</v>
      </c>
      <c r="D21" s="157"/>
      <c r="E21" s="157"/>
      <c r="F21" s="358" t="s">
        <v>416</v>
      </c>
      <c r="G21" s="359"/>
      <c r="H21" s="359"/>
      <c r="I21" s="359"/>
      <c r="J21" s="359"/>
      <c r="K21" s="360"/>
      <c r="L21" s="265"/>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row>
    <row r="22" spans="1:65" ht="15.75" customHeight="1" x14ac:dyDescent="0.25">
      <c r="A22" s="264"/>
      <c r="B22" s="283" t="s">
        <v>260</v>
      </c>
      <c r="C22" s="268" t="s">
        <v>172</v>
      </c>
      <c r="D22" s="157"/>
      <c r="E22" s="157"/>
      <c r="F22" s="278"/>
      <c r="G22" s="278"/>
      <c r="H22" s="278"/>
      <c r="I22" s="278"/>
      <c r="J22" s="278"/>
      <c r="K22" s="281"/>
      <c r="L22" s="265"/>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row>
    <row r="23" spans="1:65" ht="15.75" x14ac:dyDescent="0.25">
      <c r="A23" s="264"/>
      <c r="B23" s="284" t="s">
        <v>261</v>
      </c>
      <c r="C23" s="268" t="s">
        <v>216</v>
      </c>
      <c r="D23" s="157"/>
      <c r="E23" s="157"/>
      <c r="F23" s="361" t="s">
        <v>345</v>
      </c>
      <c r="G23" s="362"/>
      <c r="H23" s="362"/>
      <c r="I23" s="362"/>
      <c r="J23" s="362"/>
      <c r="K23" s="363"/>
      <c r="L23" s="265"/>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row>
    <row r="24" spans="1:65" ht="15.75" x14ac:dyDescent="0.25">
      <c r="A24" s="264"/>
      <c r="B24" s="285" t="s">
        <v>262</v>
      </c>
      <c r="C24" s="268" t="s">
        <v>217</v>
      </c>
      <c r="D24" s="157"/>
      <c r="E24" s="157"/>
      <c r="F24" s="364" t="s">
        <v>272</v>
      </c>
      <c r="G24" s="365"/>
      <c r="H24" s="365"/>
      <c r="I24" s="365"/>
      <c r="J24" s="365"/>
      <c r="K24" s="366"/>
      <c r="L24" s="265"/>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row>
    <row r="25" spans="1:65" ht="15.75" x14ac:dyDescent="0.25">
      <c r="A25" s="264"/>
      <c r="B25" s="286" t="s">
        <v>263</v>
      </c>
      <c r="C25" s="268" t="s">
        <v>218</v>
      </c>
      <c r="D25" s="157"/>
      <c r="E25" s="157"/>
      <c r="F25" s="367" t="str">
        <f>HYPERLINK("http://office.microsoft.com/en-us/excel-help/enable-or-disable-macros-in-office-documents-HA010031071.aspx","Enable Macros")</f>
        <v>Enable Macros</v>
      </c>
      <c r="G25" s="368"/>
      <c r="H25" s="368"/>
      <c r="I25" s="368"/>
      <c r="J25" s="368"/>
      <c r="K25" s="369"/>
      <c r="L25" s="265"/>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row>
    <row r="26" spans="1:65" ht="15.75" x14ac:dyDescent="0.25">
      <c r="A26" s="264"/>
      <c r="B26" s="287" t="s">
        <v>264</v>
      </c>
      <c r="C26" s="268" t="s">
        <v>219</v>
      </c>
      <c r="D26" s="157"/>
      <c r="E26" s="157"/>
      <c r="F26" s="370" t="str">
        <f>HYPERLINK("http://office.microsoft.com/en-us/word-help/enable-or-disable-activex-controls-in-office-documents-HA010031067.aspx","Enable ActiveX")</f>
        <v>Enable ActiveX</v>
      </c>
      <c r="G26" s="371"/>
      <c r="H26" s="371"/>
      <c r="I26" s="371"/>
      <c r="J26" s="371"/>
      <c r="K26" s="372"/>
      <c r="L26" s="265"/>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row>
    <row r="27" spans="1:65" x14ac:dyDescent="0.25">
      <c r="A27" s="264"/>
      <c r="B27" s="271"/>
      <c r="C27" s="272"/>
      <c r="D27" s="157"/>
      <c r="E27" s="157"/>
      <c r="F27" s="266"/>
      <c r="G27" s="266"/>
      <c r="H27" s="266"/>
      <c r="I27" s="266"/>
      <c r="J27" s="266"/>
      <c r="K27" s="157"/>
      <c r="L27" s="265"/>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row>
    <row r="28" spans="1:65" x14ac:dyDescent="0.25">
      <c r="A28" s="264"/>
      <c r="B28" s="273"/>
      <c r="C28" s="274"/>
      <c r="D28" s="157"/>
      <c r="E28" s="157"/>
      <c r="F28" s="266"/>
      <c r="G28" s="266"/>
      <c r="H28" s="266"/>
      <c r="I28" s="266"/>
      <c r="J28" s="266"/>
      <c r="K28" s="266"/>
      <c r="L28" s="265"/>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row>
    <row r="29" spans="1:65" ht="15.75" customHeight="1" x14ac:dyDescent="0.25">
      <c r="A29" s="264"/>
      <c r="B29" s="288" t="s">
        <v>159</v>
      </c>
      <c r="C29" s="268" t="s">
        <v>163</v>
      </c>
      <c r="D29" s="280" t="s">
        <v>258</v>
      </c>
      <c r="E29" s="157"/>
      <c r="F29" s="266"/>
      <c r="G29" s="266"/>
      <c r="H29" s="266"/>
      <c r="I29" s="266"/>
      <c r="J29" s="266"/>
      <c r="K29" s="266"/>
      <c r="L29" s="265"/>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row>
    <row r="30" spans="1:65" x14ac:dyDescent="0.25">
      <c r="A30" s="264"/>
      <c r="B30" s="157"/>
      <c r="C30" s="157"/>
      <c r="D30" s="157"/>
      <c r="E30" s="157"/>
      <c r="F30" s="266"/>
      <c r="G30" s="266"/>
      <c r="H30" s="266"/>
      <c r="I30" s="266"/>
      <c r="J30" s="266"/>
      <c r="K30" s="157"/>
      <c r="L30" s="265"/>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row>
    <row r="31" spans="1:65" x14ac:dyDescent="0.25">
      <c r="A31" s="264"/>
      <c r="B31" s="157"/>
      <c r="C31" s="157"/>
      <c r="D31" s="157"/>
      <c r="E31" s="157"/>
      <c r="F31" s="266"/>
      <c r="G31" s="266"/>
      <c r="H31" s="157"/>
      <c r="I31" s="157"/>
      <c r="J31" s="157"/>
      <c r="K31" s="157"/>
      <c r="L31" s="265"/>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row>
    <row r="32" spans="1:65" x14ac:dyDescent="0.25">
      <c r="A32" s="264"/>
      <c r="B32" s="157"/>
      <c r="C32" s="157"/>
      <c r="D32" s="157"/>
      <c r="E32" s="157"/>
      <c r="F32" s="266"/>
      <c r="G32" s="266"/>
      <c r="H32" s="157"/>
      <c r="I32" s="157"/>
      <c r="J32" s="157"/>
      <c r="K32" s="157"/>
      <c r="L32" s="265"/>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row>
    <row r="33" spans="1:65" x14ac:dyDescent="0.25">
      <c r="A33" s="264"/>
      <c r="B33" s="157"/>
      <c r="C33" s="157"/>
      <c r="D33" s="157"/>
      <c r="E33" s="157"/>
      <c r="F33" s="266"/>
      <c r="G33" s="266"/>
      <c r="H33" s="157"/>
      <c r="I33" s="157"/>
      <c r="J33" s="157"/>
      <c r="K33" s="157"/>
      <c r="L33" s="265"/>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row>
    <row r="34" spans="1:65" x14ac:dyDescent="0.25">
      <c r="A34" s="264"/>
      <c r="B34" s="157"/>
      <c r="C34" s="157"/>
      <c r="D34" s="157"/>
      <c r="E34" s="157"/>
      <c r="F34" s="157"/>
      <c r="G34" s="157"/>
      <c r="H34" s="157"/>
      <c r="I34" s="157"/>
      <c r="J34" s="157"/>
      <c r="K34" s="157"/>
      <c r="L34" s="265"/>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row>
    <row r="35" spans="1:65" x14ac:dyDescent="0.25">
      <c r="A35" s="264"/>
      <c r="B35" s="157"/>
      <c r="C35" s="157"/>
      <c r="D35" s="157"/>
      <c r="E35" s="157"/>
      <c r="F35" s="157"/>
      <c r="G35" s="157"/>
      <c r="H35" s="157"/>
      <c r="I35" s="157"/>
      <c r="J35" s="157"/>
      <c r="K35" s="157"/>
      <c r="L35" s="265"/>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row>
    <row r="36" spans="1:65" x14ac:dyDescent="0.25">
      <c r="A36" s="264"/>
      <c r="B36" s="157"/>
      <c r="C36" s="157"/>
      <c r="D36" s="157"/>
      <c r="E36" s="157"/>
      <c r="F36" s="157"/>
      <c r="G36" s="157"/>
      <c r="H36" s="157"/>
      <c r="I36" s="157"/>
      <c r="J36" s="157"/>
      <c r="K36" s="157"/>
      <c r="L36" s="265"/>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row>
    <row r="37" spans="1:65" x14ac:dyDescent="0.25">
      <c r="A37" s="264"/>
      <c r="B37" s="289"/>
      <c r="C37" s="289"/>
      <c r="D37" s="289"/>
      <c r="E37" s="289"/>
      <c r="F37" s="157"/>
      <c r="G37" s="157"/>
      <c r="H37" s="157"/>
      <c r="I37" s="157"/>
      <c r="J37" s="157"/>
      <c r="K37" s="157"/>
      <c r="L37" s="265"/>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row>
    <row r="38" spans="1:65" ht="15" customHeight="1" x14ac:dyDescent="0.25">
      <c r="A38" s="340" t="s">
        <v>451</v>
      </c>
      <c r="B38" s="341"/>
      <c r="C38" s="341"/>
      <c r="D38" s="341"/>
      <c r="E38" s="341"/>
      <c r="F38" s="341"/>
      <c r="G38" s="341"/>
      <c r="H38" s="341"/>
      <c r="I38" s="341"/>
      <c r="J38" s="341"/>
      <c r="K38" s="341"/>
      <c r="L38" s="342"/>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row>
    <row r="39" spans="1:65" x14ac:dyDescent="0.25">
      <c r="A39" s="343" t="s">
        <v>280</v>
      </c>
      <c r="B39" s="344"/>
      <c r="C39" s="344"/>
      <c r="D39" s="344"/>
      <c r="E39" s="344"/>
      <c r="F39" s="344"/>
      <c r="G39" s="344"/>
      <c r="H39" s="344"/>
      <c r="I39" s="344"/>
      <c r="J39" s="344"/>
      <c r="K39" s="344"/>
      <c r="L39" s="345"/>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row>
    <row r="40" spans="1:65" ht="15" customHeight="1" x14ac:dyDescent="0.25">
      <c r="A40" s="332" t="str">
        <f>HYPERLINK("mailto:m.watten@fehrandpeers.com;b.dubose@fehrandpeers.com?subject=BART Bicycle Investment Tool Troubleshooting or Feedback","Contact Fehr &amp; Peers for troubleshooting or general feedback")</f>
        <v>Contact Fehr &amp; Peers for troubleshooting or general feedback</v>
      </c>
      <c r="B40" s="333"/>
      <c r="C40" s="333"/>
      <c r="D40" s="333"/>
      <c r="E40" s="333"/>
      <c r="F40" s="333"/>
      <c r="G40" s="333"/>
      <c r="H40" s="333"/>
      <c r="I40" s="333"/>
      <c r="J40" s="333"/>
      <c r="K40" s="333"/>
      <c r="L40" s="334"/>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row>
    <row r="41" spans="1:65" ht="15" customHeight="1" x14ac:dyDescent="0.25">
      <c r="A41" s="290"/>
      <c r="B41" s="291"/>
      <c r="C41" s="291"/>
      <c r="D41" s="291"/>
      <c r="E41" s="291"/>
      <c r="F41" s="291"/>
      <c r="G41" s="291"/>
      <c r="H41" s="291"/>
      <c r="I41" s="291"/>
      <c r="J41" s="291"/>
      <c r="K41" s="291"/>
      <c r="L41" s="292"/>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row>
    <row r="42" spans="1:65" x14ac:dyDescent="0.25">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row>
    <row r="43" spans="1:65" x14ac:dyDescent="0.25">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c r="BC43" s="166"/>
      <c r="BD43" s="166"/>
      <c r="BE43" s="166"/>
      <c r="BF43" s="166"/>
      <c r="BG43" s="166"/>
      <c r="BH43" s="166"/>
      <c r="BI43" s="166"/>
      <c r="BJ43" s="166"/>
      <c r="BK43" s="166"/>
      <c r="BL43" s="166"/>
      <c r="BM43" s="166"/>
    </row>
    <row r="44" spans="1:65" x14ac:dyDescent="0.25">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6"/>
      <c r="BD44" s="166"/>
      <c r="BE44" s="166"/>
      <c r="BF44" s="166"/>
      <c r="BG44" s="166"/>
      <c r="BH44" s="166"/>
      <c r="BI44" s="166"/>
      <c r="BJ44" s="166"/>
      <c r="BK44" s="166"/>
      <c r="BL44" s="166"/>
      <c r="BM44" s="166"/>
    </row>
    <row r="45" spans="1:65" x14ac:dyDescent="0.25">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row>
    <row r="46" spans="1:65" x14ac:dyDescent="0.25">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row>
    <row r="47" spans="1:65" x14ac:dyDescent="0.25">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row>
    <row r="48" spans="1:65" x14ac:dyDescent="0.25">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row>
    <row r="49" spans="1:65" x14ac:dyDescent="0.25">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row>
    <row r="50" spans="1:65" x14ac:dyDescent="0.25">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row>
    <row r="51" spans="1:65" x14ac:dyDescent="0.25">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row>
    <row r="52" spans="1:65" x14ac:dyDescent="0.25">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row>
    <row r="53" spans="1:65" x14ac:dyDescent="0.25">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row>
    <row r="54" spans="1:65" x14ac:dyDescent="0.25">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6"/>
      <c r="BF54" s="166"/>
      <c r="BG54" s="166"/>
      <c r="BH54" s="166"/>
      <c r="BI54" s="166"/>
      <c r="BJ54" s="166"/>
      <c r="BK54" s="166"/>
      <c r="BL54" s="166"/>
      <c r="BM54" s="166"/>
    </row>
    <row r="55" spans="1:65" x14ac:dyDescent="0.25">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row>
    <row r="56" spans="1:65" x14ac:dyDescent="0.25">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row>
    <row r="57" spans="1:65" x14ac:dyDescent="0.25">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row>
    <row r="58" spans="1:65" x14ac:dyDescent="0.25">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row>
    <row r="59" spans="1:65" x14ac:dyDescent="0.25">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6"/>
      <c r="AY59" s="166"/>
      <c r="AZ59" s="166"/>
      <c r="BA59" s="166"/>
      <c r="BB59" s="166"/>
      <c r="BC59" s="166"/>
      <c r="BD59" s="166"/>
      <c r="BE59" s="166"/>
      <c r="BF59" s="166"/>
      <c r="BG59" s="166"/>
      <c r="BH59" s="166"/>
      <c r="BI59" s="166"/>
      <c r="BJ59" s="166"/>
      <c r="BK59" s="166"/>
      <c r="BL59" s="166"/>
      <c r="BM59" s="166"/>
    </row>
    <row r="60" spans="1:65" x14ac:dyDescent="0.25">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166"/>
      <c r="BJ60" s="166"/>
      <c r="BK60" s="166"/>
      <c r="BL60" s="166"/>
      <c r="BM60" s="166"/>
    </row>
    <row r="61" spans="1:65" x14ac:dyDescent="0.25">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166"/>
      <c r="BJ61" s="166"/>
      <c r="BK61" s="166"/>
      <c r="BL61" s="166"/>
      <c r="BM61" s="166"/>
    </row>
    <row r="62" spans="1:65" x14ac:dyDescent="0.25">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row>
    <row r="63" spans="1:65" x14ac:dyDescent="0.25">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row>
    <row r="64" spans="1:65" x14ac:dyDescent="0.25">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row>
    <row r="65" spans="1:65" x14ac:dyDescent="0.25">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row>
  </sheetData>
  <sheetProtection password="8CF0" sheet="1" objects="1" scenarios="1" selectLockedCells="1"/>
  <mergeCells count="18">
    <mergeCell ref="A1:L3"/>
    <mergeCell ref="B9:C9"/>
    <mergeCell ref="F9:K9"/>
    <mergeCell ref="A4:L5"/>
    <mergeCell ref="F19:K19"/>
    <mergeCell ref="A40:L40"/>
    <mergeCell ref="F10:K10"/>
    <mergeCell ref="H16:K16"/>
    <mergeCell ref="A38:L38"/>
    <mergeCell ref="A39:L39"/>
    <mergeCell ref="F12:K14"/>
    <mergeCell ref="F11:K11"/>
    <mergeCell ref="F20:K20"/>
    <mergeCell ref="F21:K21"/>
    <mergeCell ref="F23:K23"/>
    <mergeCell ref="F24:K24"/>
    <mergeCell ref="F25:K25"/>
    <mergeCell ref="F26:K26"/>
  </mergeCells>
  <dataValidations count="1">
    <dataValidation type="custom" allowBlank="1" showInputMessage="1" showErrorMessage="1" sqref="L1:L37 A38:L41 F17:K37 G1:K15 F1:F14 A1:B37 D1:E37 C1:C12 C14:C37" xr:uid="{00000000-0002-0000-0000-000000000000}">
      <formula1>"&lt;0&gt;0"</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5" tint="-0.249977111117893"/>
    <pageSetUpPr fitToPage="1"/>
  </sheetPr>
  <dimension ref="A1:BE140"/>
  <sheetViews>
    <sheetView workbookViewId="0">
      <pane ySplit="4" topLeftCell="A5" activePane="bottomLeft" state="frozen"/>
      <selection pane="bottomLeft" sqref="A1:P2"/>
    </sheetView>
  </sheetViews>
  <sheetFormatPr defaultRowHeight="15" x14ac:dyDescent="0.25"/>
  <cols>
    <col min="10" max="10" width="16.42578125" customWidth="1"/>
    <col min="11" max="11" width="16.140625" customWidth="1"/>
    <col min="12" max="15" width="9.140625" style="145"/>
    <col min="16" max="16" width="21" customWidth="1"/>
  </cols>
  <sheetData>
    <row r="1" spans="1:57" s="145" customFormat="1" x14ac:dyDescent="0.25">
      <c r="A1" s="483" t="s">
        <v>154</v>
      </c>
      <c r="B1" s="484"/>
      <c r="C1" s="484"/>
      <c r="D1" s="484"/>
      <c r="E1" s="484"/>
      <c r="F1" s="484"/>
      <c r="G1" s="484"/>
      <c r="H1" s="484"/>
      <c r="I1" s="484"/>
      <c r="J1" s="484"/>
      <c r="K1" s="484"/>
      <c r="L1" s="484"/>
      <c r="M1" s="484"/>
      <c r="N1" s="484"/>
      <c r="O1" s="484"/>
      <c r="P1" s="485"/>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row>
    <row r="2" spans="1:57" s="145" customFormat="1" x14ac:dyDescent="0.25">
      <c r="A2" s="486"/>
      <c r="B2" s="487"/>
      <c r="C2" s="487"/>
      <c r="D2" s="487"/>
      <c r="E2" s="487"/>
      <c r="F2" s="487"/>
      <c r="G2" s="487"/>
      <c r="H2" s="487"/>
      <c r="I2" s="487"/>
      <c r="J2" s="487"/>
      <c r="K2" s="487"/>
      <c r="L2" s="487"/>
      <c r="M2" s="487"/>
      <c r="N2" s="487"/>
      <c r="O2" s="487"/>
      <c r="P2" s="488"/>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row>
    <row r="3" spans="1:57" s="145" customFormat="1" x14ac:dyDescent="0.25">
      <c r="A3" s="489" t="s">
        <v>317</v>
      </c>
      <c r="B3" s="490"/>
      <c r="C3" s="490"/>
      <c r="D3" s="490"/>
      <c r="E3" s="490"/>
      <c r="F3" s="490"/>
      <c r="G3" s="490"/>
      <c r="H3" s="490"/>
      <c r="I3" s="490"/>
      <c r="J3" s="490"/>
      <c r="K3" s="490"/>
      <c r="L3" s="490"/>
      <c r="M3" s="490"/>
      <c r="N3" s="490"/>
      <c r="O3" s="490"/>
      <c r="P3" s="491"/>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row>
    <row r="4" spans="1:57" ht="15" customHeight="1" x14ac:dyDescent="0.25">
      <c r="A4" s="492"/>
      <c r="B4" s="493"/>
      <c r="C4" s="493"/>
      <c r="D4" s="493"/>
      <c r="E4" s="493"/>
      <c r="F4" s="493"/>
      <c r="G4" s="493"/>
      <c r="H4" s="493"/>
      <c r="I4" s="493"/>
      <c r="J4" s="493"/>
      <c r="K4" s="493"/>
      <c r="L4" s="493"/>
      <c r="M4" s="493"/>
      <c r="N4" s="493"/>
      <c r="O4" s="493"/>
      <c r="P4" s="494"/>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row>
    <row r="5" spans="1:57" s="145" customFormat="1" ht="15" customHeight="1" x14ac:dyDescent="0.25">
      <c r="A5" s="160"/>
      <c r="B5" s="161"/>
      <c r="C5" s="161"/>
      <c r="D5" s="161"/>
      <c r="E5" s="161"/>
      <c r="F5" s="161"/>
      <c r="G5" s="161"/>
      <c r="H5" s="161"/>
      <c r="I5" s="161"/>
      <c r="J5" s="161"/>
      <c r="K5" s="161"/>
      <c r="L5" s="161"/>
      <c r="M5" s="161"/>
      <c r="N5" s="161"/>
      <c r="O5" s="161"/>
      <c r="P5" s="188"/>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row>
    <row r="6" spans="1:57" ht="30" customHeight="1" x14ac:dyDescent="0.25">
      <c r="A6" s="414" t="s">
        <v>436</v>
      </c>
      <c r="B6" s="415"/>
      <c r="C6" s="415"/>
      <c r="D6" s="415"/>
      <c r="E6" s="415"/>
      <c r="F6" s="415"/>
      <c r="G6" s="415"/>
      <c r="H6" s="415"/>
      <c r="I6" s="415"/>
      <c r="J6" s="415"/>
      <c r="K6" s="415"/>
      <c r="L6" s="415"/>
      <c r="M6" s="415"/>
      <c r="N6" s="415"/>
      <c r="O6" s="415"/>
      <c r="P6" s="416"/>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row>
    <row r="7" spans="1:57" s="145" customFormat="1" x14ac:dyDescent="0.25">
      <c r="A7" s="417" t="s">
        <v>435</v>
      </c>
      <c r="B7" s="418"/>
      <c r="C7" s="418"/>
      <c r="D7" s="418"/>
      <c r="E7" s="418"/>
      <c r="F7" s="418"/>
      <c r="G7" s="418"/>
      <c r="H7" s="418"/>
      <c r="I7" s="418"/>
      <c r="J7" s="418"/>
      <c r="K7" s="418"/>
      <c r="L7" s="418"/>
      <c r="M7" s="418"/>
      <c r="N7" s="418"/>
      <c r="O7" s="418"/>
      <c r="P7" s="41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row>
    <row r="8" spans="1:57" s="145" customFormat="1" ht="60" customHeight="1" x14ac:dyDescent="0.25">
      <c r="A8" s="444" t="s">
        <v>437</v>
      </c>
      <c r="B8" s="445"/>
      <c r="C8" s="445"/>
      <c r="D8" s="445"/>
      <c r="E8" s="445"/>
      <c r="F8" s="445"/>
      <c r="G8" s="445"/>
      <c r="H8" s="445"/>
      <c r="I8" s="445"/>
      <c r="J8" s="445"/>
      <c r="K8" s="445"/>
      <c r="L8" s="445"/>
      <c r="M8" s="445"/>
      <c r="N8" s="445"/>
      <c r="O8" s="445"/>
      <c r="P8" s="446"/>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row>
    <row r="9" spans="1:57" x14ac:dyDescent="0.25">
      <c r="A9" s="450" t="s">
        <v>322</v>
      </c>
      <c r="B9" s="451"/>
      <c r="C9" s="451"/>
      <c r="D9" s="451"/>
      <c r="E9" s="451"/>
      <c r="F9" s="451"/>
      <c r="G9" s="451"/>
      <c r="H9" s="451"/>
      <c r="I9" s="451"/>
      <c r="J9" s="451"/>
      <c r="K9" s="451"/>
      <c r="L9" s="451"/>
      <c r="M9" s="451"/>
      <c r="N9" s="451"/>
      <c r="O9" s="451"/>
      <c r="P9" s="452"/>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row>
    <row r="10" spans="1:57" x14ac:dyDescent="0.25">
      <c r="A10" s="495" t="s">
        <v>438</v>
      </c>
      <c r="B10" s="496"/>
      <c r="C10" s="496"/>
      <c r="D10" s="496"/>
      <c r="E10" s="496"/>
      <c r="F10" s="496"/>
      <c r="G10" s="496"/>
      <c r="H10" s="496"/>
      <c r="I10" s="496"/>
      <c r="J10" s="496"/>
      <c r="K10" s="496"/>
      <c r="L10" s="496"/>
      <c r="M10" s="496"/>
      <c r="N10" s="496"/>
      <c r="O10" s="496"/>
      <c r="P10" s="497"/>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row>
    <row r="11" spans="1:57" x14ac:dyDescent="0.25">
      <c r="A11" s="495" t="s">
        <v>439</v>
      </c>
      <c r="B11" s="496"/>
      <c r="C11" s="496"/>
      <c r="D11" s="496"/>
      <c r="E11" s="496"/>
      <c r="F11" s="496"/>
      <c r="G11" s="496"/>
      <c r="H11" s="496"/>
      <c r="I11" s="496"/>
      <c r="J11" s="496"/>
      <c r="K11" s="496"/>
      <c r="L11" s="496"/>
      <c r="M11" s="496"/>
      <c r="N11" s="496"/>
      <c r="O11" s="496"/>
      <c r="P11" s="497"/>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row>
    <row r="12" spans="1:57" s="145" customFormat="1" x14ac:dyDescent="0.25">
      <c r="A12" s="498" t="s">
        <v>440</v>
      </c>
      <c r="B12" s="499"/>
      <c r="C12" s="499"/>
      <c r="D12" s="499"/>
      <c r="E12" s="499"/>
      <c r="F12" s="499"/>
      <c r="G12" s="499"/>
      <c r="H12" s="499"/>
      <c r="I12" s="499"/>
      <c r="J12" s="499"/>
      <c r="K12" s="499"/>
      <c r="L12" s="499"/>
      <c r="M12" s="499"/>
      <c r="N12" s="499"/>
      <c r="O12" s="499"/>
      <c r="P12" s="500"/>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row>
    <row r="13" spans="1:57" s="145" customFormat="1" ht="15" customHeight="1" x14ac:dyDescent="0.25">
      <c r="A13" s="480" t="s">
        <v>347</v>
      </c>
      <c r="B13" s="481"/>
      <c r="C13" s="481"/>
      <c r="D13" s="481"/>
      <c r="E13" s="481"/>
      <c r="F13" s="481"/>
      <c r="G13" s="481"/>
      <c r="H13" s="481"/>
      <c r="I13" s="481"/>
      <c r="J13" s="481"/>
      <c r="K13" s="481"/>
      <c r="L13" s="481"/>
      <c r="M13" s="481"/>
      <c r="N13" s="481"/>
      <c r="O13" s="481"/>
      <c r="P13" s="504"/>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row>
    <row r="14" spans="1:57" s="145" customFormat="1" ht="30.75" customHeight="1" x14ac:dyDescent="0.25">
      <c r="A14" s="399" t="s">
        <v>350</v>
      </c>
      <c r="B14" s="502"/>
      <c r="C14" s="502"/>
      <c r="D14" s="502"/>
      <c r="E14" s="502"/>
      <c r="F14" s="502"/>
      <c r="G14" s="502"/>
      <c r="H14" s="502"/>
      <c r="I14" s="502"/>
      <c r="J14" s="502"/>
      <c r="K14" s="502"/>
      <c r="L14" s="502"/>
      <c r="M14" s="502"/>
      <c r="N14" s="502"/>
      <c r="O14" s="502"/>
      <c r="P14" s="503"/>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row>
    <row r="15" spans="1:57" s="145" customFormat="1" x14ac:dyDescent="0.25">
      <c r="A15" s="417" t="s">
        <v>441</v>
      </c>
      <c r="B15" s="418"/>
      <c r="C15" s="418"/>
      <c r="D15" s="418"/>
      <c r="E15" s="418"/>
      <c r="F15" s="418"/>
      <c r="G15" s="418"/>
      <c r="H15" s="418"/>
      <c r="I15" s="418"/>
      <c r="J15" s="418"/>
      <c r="K15" s="418"/>
      <c r="L15" s="418"/>
      <c r="M15" s="418"/>
      <c r="N15" s="418"/>
      <c r="O15" s="418"/>
      <c r="P15" s="41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row>
    <row r="16" spans="1:57" s="145" customFormat="1" ht="15" customHeight="1" x14ac:dyDescent="0.25">
      <c r="A16" s="393" t="s">
        <v>420</v>
      </c>
      <c r="B16" s="470"/>
      <c r="C16" s="470"/>
      <c r="D16" s="470"/>
      <c r="E16" s="470"/>
      <c r="F16" s="470"/>
      <c r="G16" s="470"/>
      <c r="H16" s="471"/>
      <c r="I16" s="478" t="s">
        <v>442</v>
      </c>
      <c r="J16" s="478"/>
      <c r="K16" s="478"/>
      <c r="L16" s="478"/>
      <c r="M16" s="478"/>
      <c r="N16" s="478"/>
      <c r="O16" s="478"/>
      <c r="P16" s="47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row>
    <row r="17" spans="1:57" s="145" customFormat="1" ht="45" customHeight="1" x14ac:dyDescent="0.25">
      <c r="A17" s="472"/>
      <c r="B17" s="473"/>
      <c r="C17" s="473"/>
      <c r="D17" s="473"/>
      <c r="E17" s="473"/>
      <c r="F17" s="473"/>
      <c r="G17" s="473"/>
      <c r="H17" s="474"/>
      <c r="I17" s="407" t="s">
        <v>323</v>
      </c>
      <c r="J17" s="407"/>
      <c r="K17" s="501" t="s">
        <v>327</v>
      </c>
      <c r="L17" s="501"/>
      <c r="M17" s="501" t="s">
        <v>325</v>
      </c>
      <c r="N17" s="501"/>
      <c r="O17" s="501"/>
      <c r="P17" s="189" t="s">
        <v>326</v>
      </c>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row>
    <row r="18" spans="1:57" s="145" customFormat="1" x14ac:dyDescent="0.25">
      <c r="A18" s="472"/>
      <c r="B18" s="473"/>
      <c r="C18" s="473"/>
      <c r="D18" s="473"/>
      <c r="E18" s="473"/>
      <c r="F18" s="473"/>
      <c r="G18" s="473"/>
      <c r="H18" s="474"/>
      <c r="I18" s="403" t="s">
        <v>13</v>
      </c>
      <c r="J18" s="403"/>
      <c r="K18" s="468" t="s">
        <v>328</v>
      </c>
      <c r="L18" s="469"/>
      <c r="M18" s="465">
        <v>5.7000000000000002E-2</v>
      </c>
      <c r="N18" s="466"/>
      <c r="O18" s="467"/>
      <c r="P18" s="190">
        <f>M18+0.03</f>
        <v>8.6999999999999994E-2</v>
      </c>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row>
    <row r="19" spans="1:57" s="145" customFormat="1" x14ac:dyDescent="0.25">
      <c r="A19" s="475"/>
      <c r="B19" s="476"/>
      <c r="C19" s="476"/>
      <c r="D19" s="476"/>
      <c r="E19" s="476"/>
      <c r="F19" s="476"/>
      <c r="G19" s="476"/>
      <c r="H19" s="477"/>
      <c r="I19" s="403" t="s">
        <v>324</v>
      </c>
      <c r="J19" s="403"/>
      <c r="K19" s="468" t="s">
        <v>10</v>
      </c>
      <c r="L19" s="469"/>
      <c r="M19" s="465">
        <v>0.113</v>
      </c>
      <c r="N19" s="466"/>
      <c r="O19" s="467"/>
      <c r="P19" s="190">
        <f>M19+0.03</f>
        <v>0.14300000000000002</v>
      </c>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row>
    <row r="20" spans="1:57" s="145" customFormat="1" ht="15" customHeight="1" x14ac:dyDescent="0.25">
      <c r="A20" s="480" t="s">
        <v>347</v>
      </c>
      <c r="B20" s="481"/>
      <c r="C20" s="481"/>
      <c r="D20" s="481"/>
      <c r="E20" s="481"/>
      <c r="F20" s="481"/>
      <c r="G20" s="481"/>
      <c r="H20" s="482"/>
      <c r="I20" s="403" t="s">
        <v>15</v>
      </c>
      <c r="J20" s="403"/>
      <c r="K20" s="468" t="s">
        <v>87</v>
      </c>
      <c r="L20" s="469"/>
      <c r="M20" s="465">
        <v>9.8000000000000004E-2</v>
      </c>
      <c r="N20" s="466"/>
      <c r="O20" s="467"/>
      <c r="P20" s="190">
        <f>M20+0.03</f>
        <v>0.128</v>
      </c>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row>
    <row r="21" spans="1:57" s="145" customFormat="1" ht="15" customHeight="1" x14ac:dyDescent="0.25">
      <c r="A21" s="396" t="s">
        <v>351</v>
      </c>
      <c r="B21" s="397"/>
      <c r="C21" s="397"/>
      <c r="D21" s="397"/>
      <c r="E21" s="397"/>
      <c r="F21" s="397"/>
      <c r="G21" s="397"/>
      <c r="H21" s="398"/>
      <c r="I21" s="403" t="s">
        <v>61</v>
      </c>
      <c r="J21" s="403"/>
      <c r="K21" s="468" t="s">
        <v>109</v>
      </c>
      <c r="L21" s="469"/>
      <c r="M21" s="465">
        <v>5.3999999999999999E-2</v>
      </c>
      <c r="N21" s="466"/>
      <c r="O21" s="467"/>
      <c r="P21" s="190">
        <f>M21+0.03</f>
        <v>8.3999999999999991E-2</v>
      </c>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row>
    <row r="22" spans="1:57" s="145" customFormat="1" x14ac:dyDescent="0.25">
      <c r="A22" s="399"/>
      <c r="B22" s="400"/>
      <c r="C22" s="400"/>
      <c r="D22" s="400"/>
      <c r="E22" s="400"/>
      <c r="F22" s="400"/>
      <c r="G22" s="400"/>
      <c r="H22" s="401"/>
      <c r="I22" s="403" t="s">
        <v>16</v>
      </c>
      <c r="J22" s="403"/>
      <c r="K22" s="468" t="s">
        <v>99</v>
      </c>
      <c r="L22" s="469"/>
      <c r="M22" s="465">
        <v>5.1999999999999998E-2</v>
      </c>
      <c r="N22" s="466"/>
      <c r="O22" s="467"/>
      <c r="P22" s="190">
        <f>M22+0.03</f>
        <v>8.199999999999999E-2</v>
      </c>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row>
    <row r="23" spans="1:57" ht="30" customHeight="1" x14ac:dyDescent="0.25">
      <c r="A23" s="414" t="s">
        <v>388</v>
      </c>
      <c r="B23" s="415"/>
      <c r="C23" s="415"/>
      <c r="D23" s="415"/>
      <c r="E23" s="415"/>
      <c r="F23" s="415"/>
      <c r="G23" s="415"/>
      <c r="H23" s="415"/>
      <c r="I23" s="415"/>
      <c r="J23" s="415"/>
      <c r="K23" s="415"/>
      <c r="L23" s="415"/>
      <c r="M23" s="415"/>
      <c r="N23" s="415"/>
      <c r="O23" s="415"/>
      <c r="P23" s="416"/>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row>
    <row r="24" spans="1:57" s="145" customFormat="1" ht="15" customHeight="1" x14ac:dyDescent="0.25">
      <c r="A24" s="393" t="s">
        <v>421</v>
      </c>
      <c r="B24" s="394"/>
      <c r="C24" s="394"/>
      <c r="D24" s="394"/>
      <c r="E24" s="394"/>
      <c r="F24" s="394"/>
      <c r="G24" s="394"/>
      <c r="H24" s="394"/>
      <c r="I24" s="394"/>
      <c r="J24" s="394"/>
      <c r="K24" s="394"/>
      <c r="L24" s="394"/>
      <c r="M24" s="394"/>
      <c r="N24" s="394"/>
      <c r="O24" s="394"/>
      <c r="P24" s="431"/>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row>
    <row r="25" spans="1:57" s="145" customFormat="1" x14ac:dyDescent="0.25">
      <c r="A25" s="396"/>
      <c r="B25" s="397"/>
      <c r="C25" s="397"/>
      <c r="D25" s="397"/>
      <c r="E25" s="397"/>
      <c r="F25" s="397"/>
      <c r="G25" s="397"/>
      <c r="H25" s="397"/>
      <c r="I25" s="397"/>
      <c r="J25" s="397"/>
      <c r="K25" s="397"/>
      <c r="L25" s="397"/>
      <c r="M25" s="397"/>
      <c r="N25" s="397"/>
      <c r="O25" s="397"/>
      <c r="P25" s="404"/>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row>
    <row r="26" spans="1:57" x14ac:dyDescent="0.25">
      <c r="A26" s="396"/>
      <c r="B26" s="397"/>
      <c r="C26" s="397"/>
      <c r="D26" s="397"/>
      <c r="E26" s="397"/>
      <c r="F26" s="397"/>
      <c r="G26" s="397"/>
      <c r="H26" s="397"/>
      <c r="I26" s="397"/>
      <c r="J26" s="397"/>
      <c r="K26" s="397"/>
      <c r="L26" s="397"/>
      <c r="M26" s="397"/>
      <c r="N26" s="397"/>
      <c r="O26" s="397"/>
      <c r="P26" s="404"/>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row>
    <row r="27" spans="1:57" x14ac:dyDescent="0.25">
      <c r="A27" s="396"/>
      <c r="B27" s="397"/>
      <c r="C27" s="397"/>
      <c r="D27" s="397"/>
      <c r="E27" s="397"/>
      <c r="F27" s="397"/>
      <c r="G27" s="397"/>
      <c r="H27" s="397"/>
      <c r="I27" s="397"/>
      <c r="J27" s="397"/>
      <c r="K27" s="397"/>
      <c r="L27" s="397"/>
      <c r="M27" s="397"/>
      <c r="N27" s="397"/>
      <c r="O27" s="397"/>
      <c r="P27" s="404"/>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row>
    <row r="28" spans="1:57" ht="21" customHeight="1" x14ac:dyDescent="0.25">
      <c r="A28" s="444" t="s">
        <v>422</v>
      </c>
      <c r="B28" s="445"/>
      <c r="C28" s="445"/>
      <c r="D28" s="445"/>
      <c r="E28" s="445"/>
      <c r="F28" s="445"/>
      <c r="G28" s="445"/>
      <c r="H28" s="445"/>
      <c r="I28" s="445"/>
      <c r="J28" s="445"/>
      <c r="K28" s="445"/>
      <c r="L28" s="445"/>
      <c r="M28" s="445"/>
      <c r="N28" s="445"/>
      <c r="O28" s="445"/>
      <c r="P28" s="446"/>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row>
    <row r="29" spans="1:57" ht="44.25" customHeight="1" x14ac:dyDescent="0.25">
      <c r="A29" s="462"/>
      <c r="B29" s="447" t="s">
        <v>452</v>
      </c>
      <c r="C29" s="445"/>
      <c r="D29" s="445"/>
      <c r="E29" s="445"/>
      <c r="F29" s="445"/>
      <c r="G29" s="445"/>
      <c r="H29" s="445"/>
      <c r="I29" s="445"/>
      <c r="J29" s="445"/>
      <c r="K29" s="445"/>
      <c r="L29" s="445"/>
      <c r="M29" s="445"/>
      <c r="N29" s="448"/>
      <c r="O29" s="456"/>
      <c r="P29" s="457"/>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row>
    <row r="30" spans="1:57" ht="64.5" customHeight="1" x14ac:dyDescent="0.25">
      <c r="A30" s="463"/>
      <c r="B30" s="447" t="s">
        <v>453</v>
      </c>
      <c r="C30" s="445"/>
      <c r="D30" s="445"/>
      <c r="E30" s="445"/>
      <c r="F30" s="445"/>
      <c r="G30" s="445"/>
      <c r="H30" s="445"/>
      <c r="I30" s="445"/>
      <c r="J30" s="445"/>
      <c r="K30" s="445"/>
      <c r="L30" s="445"/>
      <c r="M30" s="445"/>
      <c r="N30" s="448"/>
      <c r="O30" s="458"/>
      <c r="P30" s="4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row>
    <row r="31" spans="1:57" ht="15" customHeight="1" x14ac:dyDescent="0.25">
      <c r="A31" s="463"/>
      <c r="B31" s="453" t="s">
        <v>454</v>
      </c>
      <c r="C31" s="394"/>
      <c r="D31" s="394"/>
      <c r="E31" s="394"/>
      <c r="F31" s="394"/>
      <c r="G31" s="394"/>
      <c r="H31" s="394"/>
      <c r="I31" s="394"/>
      <c r="J31" s="394"/>
      <c r="K31" s="394"/>
      <c r="L31" s="394"/>
      <c r="M31" s="394"/>
      <c r="N31" s="395"/>
      <c r="O31" s="458"/>
      <c r="P31" s="4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row>
    <row r="32" spans="1:57" s="145" customFormat="1" x14ac:dyDescent="0.25">
      <c r="A32" s="463"/>
      <c r="B32" s="454"/>
      <c r="C32" s="400"/>
      <c r="D32" s="400"/>
      <c r="E32" s="400"/>
      <c r="F32" s="400"/>
      <c r="G32" s="400"/>
      <c r="H32" s="400"/>
      <c r="I32" s="400"/>
      <c r="J32" s="400"/>
      <c r="K32" s="400"/>
      <c r="L32" s="400"/>
      <c r="M32" s="400"/>
      <c r="N32" s="401"/>
      <c r="O32" s="458"/>
      <c r="P32" s="4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row>
    <row r="33" spans="1:57" s="145" customFormat="1" ht="15" customHeight="1" x14ac:dyDescent="0.25">
      <c r="A33" s="463"/>
      <c r="B33" s="453" t="s">
        <v>389</v>
      </c>
      <c r="C33" s="394"/>
      <c r="D33" s="394"/>
      <c r="E33" s="394"/>
      <c r="F33" s="394"/>
      <c r="G33" s="394"/>
      <c r="H33" s="394"/>
      <c r="I33" s="394"/>
      <c r="J33" s="394"/>
      <c r="K33" s="394"/>
      <c r="L33" s="394"/>
      <c r="M33" s="394"/>
      <c r="N33" s="395"/>
      <c r="O33" s="458"/>
      <c r="P33" s="4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row>
    <row r="34" spans="1:57" x14ac:dyDescent="0.25">
      <c r="A34" s="464"/>
      <c r="B34" s="454"/>
      <c r="C34" s="400"/>
      <c r="D34" s="400"/>
      <c r="E34" s="400"/>
      <c r="F34" s="400"/>
      <c r="G34" s="400"/>
      <c r="H34" s="400"/>
      <c r="I34" s="400"/>
      <c r="J34" s="400"/>
      <c r="K34" s="400"/>
      <c r="L34" s="400"/>
      <c r="M34" s="400"/>
      <c r="N34" s="401"/>
      <c r="O34" s="460"/>
      <c r="P34" s="461"/>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row>
    <row r="35" spans="1:57" s="145" customFormat="1" ht="15" customHeight="1" x14ac:dyDescent="0.25">
      <c r="A35" s="393" t="s">
        <v>346</v>
      </c>
      <c r="B35" s="394"/>
      <c r="C35" s="394"/>
      <c r="D35" s="394"/>
      <c r="E35" s="394"/>
      <c r="F35" s="394"/>
      <c r="G35" s="394"/>
      <c r="H35" s="394"/>
      <c r="I35" s="394"/>
      <c r="J35" s="394"/>
      <c r="K35" s="394"/>
      <c r="L35" s="394"/>
      <c r="M35" s="394"/>
      <c r="N35" s="394"/>
      <c r="O35" s="394"/>
      <c r="P35" s="431"/>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row>
    <row r="36" spans="1:57" s="145" customFormat="1" x14ac:dyDescent="0.25">
      <c r="A36" s="396"/>
      <c r="B36" s="397"/>
      <c r="C36" s="397"/>
      <c r="D36" s="397"/>
      <c r="E36" s="397"/>
      <c r="F36" s="397"/>
      <c r="G36" s="397"/>
      <c r="H36" s="397"/>
      <c r="I36" s="397"/>
      <c r="J36" s="397"/>
      <c r="K36" s="397"/>
      <c r="L36" s="397"/>
      <c r="M36" s="397"/>
      <c r="N36" s="397"/>
      <c r="O36" s="397"/>
      <c r="P36" s="404"/>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row>
    <row r="37" spans="1:57" s="145" customFormat="1" x14ac:dyDescent="0.25">
      <c r="A37" s="399"/>
      <c r="B37" s="400"/>
      <c r="C37" s="400"/>
      <c r="D37" s="400"/>
      <c r="E37" s="400"/>
      <c r="F37" s="400"/>
      <c r="G37" s="400"/>
      <c r="H37" s="400"/>
      <c r="I37" s="400"/>
      <c r="J37" s="400"/>
      <c r="K37" s="400"/>
      <c r="L37" s="400"/>
      <c r="M37" s="400"/>
      <c r="N37" s="400"/>
      <c r="O37" s="400"/>
      <c r="P37" s="432"/>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row>
    <row r="38" spans="1:57" x14ac:dyDescent="0.25">
      <c r="A38" s="450" t="s">
        <v>322</v>
      </c>
      <c r="B38" s="451"/>
      <c r="C38" s="451"/>
      <c r="D38" s="451"/>
      <c r="E38" s="451"/>
      <c r="F38" s="451"/>
      <c r="G38" s="451"/>
      <c r="H38" s="451"/>
      <c r="I38" s="451"/>
      <c r="J38" s="451"/>
      <c r="K38" s="451"/>
      <c r="L38" s="451"/>
      <c r="M38" s="451"/>
      <c r="N38" s="451"/>
      <c r="O38" s="451"/>
      <c r="P38" s="452"/>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row>
    <row r="39" spans="1:57" s="145" customFormat="1" ht="15" customHeight="1" x14ac:dyDescent="0.25">
      <c r="A39" s="455" t="s">
        <v>348</v>
      </c>
      <c r="B39" s="441"/>
      <c r="C39" s="441"/>
      <c r="D39" s="441"/>
      <c r="E39" s="441"/>
      <c r="F39" s="441"/>
      <c r="G39" s="441"/>
      <c r="H39" s="441"/>
      <c r="I39" s="442"/>
      <c r="J39" s="161"/>
      <c r="K39" s="161"/>
      <c r="L39" s="161"/>
      <c r="M39" s="161"/>
      <c r="N39" s="161"/>
      <c r="O39" s="161"/>
      <c r="P39" s="188"/>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row>
    <row r="40" spans="1:57" ht="36" customHeight="1" x14ac:dyDescent="0.25">
      <c r="A40" s="449" t="s">
        <v>329</v>
      </c>
      <c r="B40" s="407"/>
      <c r="C40" s="407"/>
      <c r="D40" s="440" t="s">
        <v>330</v>
      </c>
      <c r="E40" s="441"/>
      <c r="F40" s="442"/>
      <c r="G40" s="443" t="s">
        <v>387</v>
      </c>
      <c r="H40" s="443"/>
      <c r="I40" s="443"/>
      <c r="J40" s="161"/>
      <c r="K40" s="161"/>
      <c r="L40" s="161"/>
      <c r="M40" s="161"/>
      <c r="N40" s="161"/>
      <c r="O40" s="161"/>
      <c r="P40" s="188"/>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pans="1:57" x14ac:dyDescent="0.25">
      <c r="A41" s="433" t="s">
        <v>238</v>
      </c>
      <c r="B41" s="403"/>
      <c r="C41" s="403"/>
      <c r="D41" s="434">
        <v>1</v>
      </c>
      <c r="E41" s="434"/>
      <c r="F41" s="434"/>
      <c r="G41" s="434" t="s">
        <v>333</v>
      </c>
      <c r="H41" s="434"/>
      <c r="I41" s="434"/>
      <c r="J41" s="161"/>
      <c r="K41" s="161"/>
      <c r="L41" s="161"/>
      <c r="M41" s="161"/>
      <c r="N41" s="161"/>
      <c r="O41" s="161"/>
      <c r="P41" s="188"/>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row>
    <row r="42" spans="1:57" s="145" customFormat="1" x14ac:dyDescent="0.25">
      <c r="A42" s="433" t="s">
        <v>4</v>
      </c>
      <c r="B42" s="403"/>
      <c r="C42" s="403"/>
      <c r="D42" s="434">
        <v>2</v>
      </c>
      <c r="E42" s="434"/>
      <c r="F42" s="434"/>
      <c r="G42" s="435">
        <v>0.73</v>
      </c>
      <c r="H42" s="435"/>
      <c r="I42" s="435"/>
      <c r="J42" s="161"/>
      <c r="K42" s="161"/>
      <c r="L42" s="161"/>
      <c r="M42" s="161"/>
      <c r="N42" s="161"/>
      <c r="O42" s="161"/>
      <c r="P42" s="188"/>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row>
    <row r="43" spans="1:57" s="145" customFormat="1" x14ac:dyDescent="0.25">
      <c r="A43" s="433" t="s">
        <v>44</v>
      </c>
      <c r="B43" s="403"/>
      <c r="C43" s="403"/>
      <c r="D43" s="434">
        <v>3</v>
      </c>
      <c r="E43" s="434"/>
      <c r="F43" s="434"/>
      <c r="G43" s="434" t="s">
        <v>331</v>
      </c>
      <c r="H43" s="434"/>
      <c r="I43" s="434"/>
      <c r="J43" s="161"/>
      <c r="K43" s="161"/>
      <c r="L43" s="161"/>
      <c r="M43" s="161"/>
      <c r="N43" s="161"/>
      <c r="O43" s="161"/>
      <c r="P43" s="188"/>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row>
    <row r="44" spans="1:57" s="145" customFormat="1" x14ac:dyDescent="0.25">
      <c r="A44" s="433" t="s">
        <v>332</v>
      </c>
      <c r="B44" s="403"/>
      <c r="C44" s="403"/>
      <c r="D44" s="434">
        <v>4</v>
      </c>
      <c r="E44" s="434"/>
      <c r="F44" s="434"/>
      <c r="G44" s="434" t="s">
        <v>331</v>
      </c>
      <c r="H44" s="434"/>
      <c r="I44" s="434"/>
      <c r="J44" s="161"/>
      <c r="K44" s="161"/>
      <c r="L44" s="161"/>
      <c r="M44" s="161"/>
      <c r="N44" s="161"/>
      <c r="O44" s="161"/>
      <c r="P44" s="188"/>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row>
    <row r="45" spans="1:57" s="145" customFormat="1" x14ac:dyDescent="0.25">
      <c r="A45" s="433" t="s">
        <v>3</v>
      </c>
      <c r="B45" s="403"/>
      <c r="C45" s="403"/>
      <c r="D45" s="434">
        <v>5</v>
      </c>
      <c r="E45" s="434"/>
      <c r="F45" s="434"/>
      <c r="G45" s="434" t="s">
        <v>331</v>
      </c>
      <c r="H45" s="434"/>
      <c r="I45" s="434"/>
      <c r="J45" s="161"/>
      <c r="K45" s="161"/>
      <c r="L45" s="161"/>
      <c r="M45" s="161"/>
      <c r="N45" s="161"/>
      <c r="O45" s="161"/>
      <c r="P45" s="188"/>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row>
    <row r="46" spans="1:57" x14ac:dyDescent="0.25">
      <c r="A46" s="433" t="s">
        <v>43</v>
      </c>
      <c r="B46" s="403"/>
      <c r="C46" s="403"/>
      <c r="D46" s="434">
        <v>6</v>
      </c>
      <c r="E46" s="434"/>
      <c r="F46" s="434"/>
      <c r="G46" s="435">
        <v>0.4</v>
      </c>
      <c r="H46" s="435"/>
      <c r="I46" s="435"/>
      <c r="J46" s="161"/>
      <c r="K46" s="161"/>
      <c r="L46" s="161"/>
      <c r="M46" s="161"/>
      <c r="N46" s="161"/>
      <c r="O46" s="161"/>
      <c r="P46" s="188"/>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row>
    <row r="47" spans="1:57" s="145" customFormat="1" ht="35.25" customHeight="1" x14ac:dyDescent="0.25">
      <c r="A47" s="160"/>
      <c r="B47" s="439" t="s">
        <v>423</v>
      </c>
      <c r="C47" s="439"/>
      <c r="D47" s="439"/>
      <c r="E47" s="439"/>
      <c r="F47" s="439"/>
      <c r="G47" s="439"/>
      <c r="H47" s="439"/>
      <c r="I47" s="439"/>
      <c r="J47" s="439"/>
      <c r="K47" s="439"/>
      <c r="L47" s="161"/>
      <c r="M47" s="161"/>
      <c r="N47" s="161"/>
      <c r="O47" s="161"/>
      <c r="P47" s="188"/>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row>
    <row r="48" spans="1:57" s="145" customFormat="1" ht="36" customHeight="1" x14ac:dyDescent="0.25">
      <c r="A48" s="160"/>
      <c r="B48" s="400" t="s">
        <v>443</v>
      </c>
      <c r="C48" s="400"/>
      <c r="D48" s="400"/>
      <c r="E48" s="400"/>
      <c r="F48" s="400"/>
      <c r="G48" s="400"/>
      <c r="H48" s="400"/>
      <c r="I48" s="400"/>
      <c r="J48" s="400"/>
      <c r="K48" s="400"/>
      <c r="L48" s="161"/>
      <c r="M48" s="161"/>
      <c r="N48" s="161"/>
      <c r="O48" s="161"/>
      <c r="P48" s="188"/>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row>
    <row r="49" spans="1:57" s="145" customFormat="1" ht="15" customHeight="1" x14ac:dyDescent="0.25">
      <c r="A49" s="393" t="s">
        <v>455</v>
      </c>
      <c r="B49" s="394"/>
      <c r="C49" s="394"/>
      <c r="D49" s="394"/>
      <c r="E49" s="394"/>
      <c r="F49" s="394"/>
      <c r="G49" s="394"/>
      <c r="H49" s="394"/>
      <c r="I49" s="394"/>
      <c r="J49" s="394"/>
      <c r="K49" s="394"/>
      <c r="L49" s="394"/>
      <c r="M49" s="394"/>
      <c r="N49" s="394"/>
      <c r="O49" s="394"/>
      <c r="P49" s="431"/>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row>
    <row r="50" spans="1:57" s="145" customFormat="1" ht="33.75" customHeight="1" x14ac:dyDescent="0.25">
      <c r="A50" s="399"/>
      <c r="B50" s="400"/>
      <c r="C50" s="400"/>
      <c r="D50" s="400"/>
      <c r="E50" s="400"/>
      <c r="F50" s="400"/>
      <c r="G50" s="400"/>
      <c r="H50" s="400"/>
      <c r="I50" s="400"/>
      <c r="J50" s="400"/>
      <c r="K50" s="400"/>
      <c r="L50" s="400"/>
      <c r="M50" s="400"/>
      <c r="N50" s="400"/>
      <c r="O50" s="400"/>
      <c r="P50" s="432"/>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row>
    <row r="51" spans="1:57" s="145" customFormat="1" ht="15" customHeight="1" x14ac:dyDescent="0.25">
      <c r="A51" s="411" t="s">
        <v>349</v>
      </c>
      <c r="B51" s="412"/>
      <c r="C51" s="412"/>
      <c r="D51" s="412"/>
      <c r="E51" s="412"/>
      <c r="F51" s="412"/>
      <c r="G51" s="412"/>
      <c r="H51" s="412"/>
      <c r="I51" s="412"/>
      <c r="J51" s="412"/>
      <c r="K51" s="412"/>
      <c r="L51" s="413"/>
      <c r="M51" s="191"/>
      <c r="N51" s="191"/>
      <c r="O51" s="191"/>
      <c r="P51" s="192"/>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row>
    <row r="52" spans="1:57" s="145" customFormat="1" ht="39.75" customHeight="1" x14ac:dyDescent="0.25">
      <c r="A52" s="436" t="s">
        <v>329</v>
      </c>
      <c r="B52" s="437"/>
      <c r="C52" s="437"/>
      <c r="D52" s="438" t="s">
        <v>330</v>
      </c>
      <c r="E52" s="438"/>
      <c r="F52" s="438"/>
      <c r="G52" s="438" t="s">
        <v>387</v>
      </c>
      <c r="H52" s="438"/>
      <c r="I52" s="438"/>
      <c r="J52" s="420" t="s">
        <v>334</v>
      </c>
      <c r="K52" s="412"/>
      <c r="L52" s="413"/>
      <c r="M52" s="191"/>
      <c r="N52" s="191"/>
      <c r="O52" s="191"/>
      <c r="P52" s="192"/>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row>
    <row r="53" spans="1:57" s="145" customFormat="1" x14ac:dyDescent="0.25">
      <c r="A53" s="433" t="s">
        <v>238</v>
      </c>
      <c r="B53" s="403"/>
      <c r="C53" s="403"/>
      <c r="D53" s="434">
        <v>1</v>
      </c>
      <c r="E53" s="434"/>
      <c r="F53" s="434"/>
      <c r="G53" s="434" t="s">
        <v>331</v>
      </c>
      <c r="H53" s="434"/>
      <c r="I53" s="434"/>
      <c r="J53" s="421" t="s">
        <v>335</v>
      </c>
      <c r="K53" s="422"/>
      <c r="L53" s="423"/>
      <c r="M53" s="191"/>
      <c r="N53" s="191"/>
      <c r="O53" s="191"/>
      <c r="P53" s="192"/>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59"/>
      <c r="AP53" s="159"/>
      <c r="AQ53" s="159"/>
      <c r="AR53" s="159"/>
      <c r="AS53" s="159"/>
      <c r="AT53" s="159"/>
      <c r="AU53" s="159"/>
      <c r="AV53" s="159"/>
      <c r="AW53" s="159"/>
      <c r="AX53" s="159"/>
      <c r="AY53" s="159"/>
      <c r="AZ53" s="159"/>
      <c r="BA53" s="159"/>
      <c r="BB53" s="159"/>
      <c r="BC53" s="159"/>
      <c r="BD53" s="159"/>
      <c r="BE53" s="159"/>
    </row>
    <row r="54" spans="1:57" s="145" customFormat="1" x14ac:dyDescent="0.25">
      <c r="A54" s="433" t="s">
        <v>4</v>
      </c>
      <c r="B54" s="403"/>
      <c r="C54" s="403"/>
      <c r="D54" s="434">
        <v>2</v>
      </c>
      <c r="E54" s="434"/>
      <c r="F54" s="434"/>
      <c r="G54" s="435">
        <v>0.73</v>
      </c>
      <c r="H54" s="435"/>
      <c r="I54" s="435"/>
      <c r="J54" s="424" t="s">
        <v>336</v>
      </c>
      <c r="K54" s="425"/>
      <c r="L54" s="426"/>
      <c r="M54" s="191"/>
      <c r="N54" s="191"/>
      <c r="O54" s="191"/>
      <c r="P54" s="192"/>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row>
    <row r="55" spans="1:57" s="145" customFormat="1" x14ac:dyDescent="0.25">
      <c r="A55" s="433" t="s">
        <v>44</v>
      </c>
      <c r="B55" s="403"/>
      <c r="C55" s="403"/>
      <c r="D55" s="434">
        <v>3</v>
      </c>
      <c r="E55" s="434"/>
      <c r="F55" s="434"/>
      <c r="G55" s="434" t="s">
        <v>331</v>
      </c>
      <c r="H55" s="434"/>
      <c r="I55" s="434"/>
      <c r="J55" s="424" t="s">
        <v>336</v>
      </c>
      <c r="K55" s="425"/>
      <c r="L55" s="426"/>
      <c r="M55" s="191"/>
      <c r="N55" s="191"/>
      <c r="O55" s="191"/>
      <c r="P55" s="192"/>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59"/>
      <c r="BD55" s="159"/>
      <c r="BE55" s="159"/>
    </row>
    <row r="56" spans="1:57" s="145" customFormat="1" x14ac:dyDescent="0.25">
      <c r="A56" s="433" t="s">
        <v>332</v>
      </c>
      <c r="B56" s="403"/>
      <c r="C56" s="403"/>
      <c r="D56" s="434">
        <v>4</v>
      </c>
      <c r="E56" s="434"/>
      <c r="F56" s="434"/>
      <c r="G56" s="434" t="s">
        <v>331</v>
      </c>
      <c r="H56" s="434"/>
      <c r="I56" s="434"/>
      <c r="J56" s="424" t="s">
        <v>336</v>
      </c>
      <c r="K56" s="425"/>
      <c r="L56" s="426"/>
      <c r="M56" s="191"/>
      <c r="N56" s="191"/>
      <c r="O56" s="191"/>
      <c r="P56" s="192"/>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c r="BC56" s="159"/>
      <c r="BD56" s="159"/>
      <c r="BE56" s="159"/>
    </row>
    <row r="57" spans="1:57" s="145" customFormat="1" x14ac:dyDescent="0.25">
      <c r="A57" s="433" t="s">
        <v>3</v>
      </c>
      <c r="B57" s="403"/>
      <c r="C57" s="403"/>
      <c r="D57" s="434">
        <v>5</v>
      </c>
      <c r="E57" s="434"/>
      <c r="F57" s="434"/>
      <c r="G57" s="434" t="s">
        <v>331</v>
      </c>
      <c r="H57" s="434"/>
      <c r="I57" s="434"/>
      <c r="J57" s="424" t="s">
        <v>336</v>
      </c>
      <c r="K57" s="425"/>
      <c r="L57" s="426"/>
      <c r="M57" s="161"/>
      <c r="N57" s="161"/>
      <c r="O57" s="161"/>
      <c r="P57" s="188"/>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row>
    <row r="58" spans="1:57" s="145" customFormat="1" x14ac:dyDescent="0.25">
      <c r="A58" s="427" t="s">
        <v>43</v>
      </c>
      <c r="B58" s="428"/>
      <c r="C58" s="428"/>
      <c r="D58" s="429">
        <v>6</v>
      </c>
      <c r="E58" s="429"/>
      <c r="F58" s="429"/>
      <c r="G58" s="430">
        <v>0.4</v>
      </c>
      <c r="H58" s="430"/>
      <c r="I58" s="430"/>
      <c r="J58" s="408" t="s">
        <v>336</v>
      </c>
      <c r="K58" s="409"/>
      <c r="L58" s="410"/>
      <c r="M58" s="161"/>
      <c r="N58" s="161"/>
      <c r="O58" s="161"/>
      <c r="P58" s="188"/>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row>
    <row r="59" spans="1:57" s="145" customFormat="1" x14ac:dyDescent="0.25">
      <c r="A59" s="393" t="s">
        <v>424</v>
      </c>
      <c r="B59" s="394"/>
      <c r="C59" s="394"/>
      <c r="D59" s="394"/>
      <c r="E59" s="394"/>
      <c r="F59" s="394"/>
      <c r="G59" s="394"/>
      <c r="H59" s="394"/>
      <c r="I59" s="394"/>
      <c r="J59" s="394"/>
      <c r="K59" s="394"/>
      <c r="L59" s="394"/>
      <c r="M59" s="394"/>
      <c r="N59" s="394"/>
      <c r="O59" s="394"/>
      <c r="P59" s="431"/>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c r="BC59" s="159"/>
      <c r="BD59" s="159"/>
      <c r="BE59" s="159"/>
    </row>
    <row r="60" spans="1:57" s="145" customFormat="1" ht="36" customHeight="1" x14ac:dyDescent="0.25">
      <c r="A60" s="399"/>
      <c r="B60" s="400"/>
      <c r="C60" s="400"/>
      <c r="D60" s="400"/>
      <c r="E60" s="400"/>
      <c r="F60" s="400"/>
      <c r="G60" s="400"/>
      <c r="H60" s="400"/>
      <c r="I60" s="400"/>
      <c r="J60" s="400"/>
      <c r="K60" s="400"/>
      <c r="L60" s="400"/>
      <c r="M60" s="400"/>
      <c r="N60" s="400"/>
      <c r="O60" s="400"/>
      <c r="P60" s="432"/>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row>
    <row r="61" spans="1:57" s="145" customFormat="1" ht="15" customHeight="1" x14ac:dyDescent="0.25">
      <c r="A61" s="393" t="s">
        <v>444</v>
      </c>
      <c r="B61" s="394"/>
      <c r="C61" s="394"/>
      <c r="D61" s="394"/>
      <c r="E61" s="394"/>
      <c r="F61" s="394"/>
      <c r="G61" s="394"/>
      <c r="H61" s="394"/>
      <c r="I61" s="394"/>
      <c r="J61" s="394"/>
      <c r="K61" s="394"/>
      <c r="L61" s="394"/>
      <c r="M61" s="394"/>
      <c r="N61" s="394"/>
      <c r="O61" s="394"/>
      <c r="P61" s="431"/>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row>
    <row r="62" spans="1:57" ht="34.5" customHeight="1" x14ac:dyDescent="0.25">
      <c r="A62" s="399"/>
      <c r="B62" s="400"/>
      <c r="C62" s="400"/>
      <c r="D62" s="400"/>
      <c r="E62" s="400"/>
      <c r="F62" s="400"/>
      <c r="G62" s="400"/>
      <c r="H62" s="400"/>
      <c r="I62" s="400"/>
      <c r="J62" s="400"/>
      <c r="K62" s="400"/>
      <c r="L62" s="400"/>
      <c r="M62" s="400"/>
      <c r="N62" s="400"/>
      <c r="O62" s="400"/>
      <c r="P62" s="432"/>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59"/>
      <c r="BC62" s="159"/>
      <c r="BD62" s="159"/>
      <c r="BE62" s="159"/>
    </row>
    <row r="63" spans="1:57" s="145" customFormat="1" x14ac:dyDescent="0.25">
      <c r="A63" s="480" t="s">
        <v>347</v>
      </c>
      <c r="B63" s="481"/>
      <c r="C63" s="481"/>
      <c r="D63" s="481"/>
      <c r="E63" s="481"/>
      <c r="F63" s="481"/>
      <c r="G63" s="481"/>
      <c r="H63" s="481"/>
      <c r="I63" s="481"/>
      <c r="J63" s="481"/>
      <c r="K63" s="481"/>
      <c r="L63" s="481"/>
      <c r="M63" s="481"/>
      <c r="N63" s="481"/>
      <c r="O63" s="481"/>
      <c r="P63" s="504"/>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row>
    <row r="64" spans="1:57" s="145" customFormat="1" ht="45" customHeight="1" x14ac:dyDescent="0.25">
      <c r="A64" s="399" t="s">
        <v>415</v>
      </c>
      <c r="B64" s="400"/>
      <c r="C64" s="400"/>
      <c r="D64" s="400"/>
      <c r="E64" s="400"/>
      <c r="F64" s="400"/>
      <c r="G64" s="400"/>
      <c r="H64" s="400"/>
      <c r="I64" s="400"/>
      <c r="J64" s="400"/>
      <c r="K64" s="400"/>
      <c r="L64" s="400"/>
      <c r="M64" s="400"/>
      <c r="N64" s="400"/>
      <c r="O64" s="400"/>
      <c r="P64" s="432"/>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59"/>
      <c r="BC64" s="159"/>
      <c r="BD64" s="159"/>
      <c r="BE64" s="159"/>
    </row>
    <row r="65" spans="1:57" ht="24" customHeight="1" x14ac:dyDescent="0.25">
      <c r="A65" s="414" t="s">
        <v>337</v>
      </c>
      <c r="B65" s="415"/>
      <c r="C65" s="415"/>
      <c r="D65" s="415"/>
      <c r="E65" s="415"/>
      <c r="F65" s="415"/>
      <c r="G65" s="415"/>
      <c r="H65" s="415"/>
      <c r="I65" s="415"/>
      <c r="J65" s="415"/>
      <c r="K65" s="415"/>
      <c r="L65" s="415"/>
      <c r="M65" s="415"/>
      <c r="N65" s="415"/>
      <c r="O65" s="415"/>
      <c r="P65" s="416"/>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59"/>
      <c r="AZ65" s="159"/>
      <c r="BA65" s="159"/>
      <c r="BB65" s="159"/>
      <c r="BC65" s="159"/>
      <c r="BD65" s="159"/>
      <c r="BE65" s="159"/>
    </row>
    <row r="66" spans="1:57" x14ac:dyDescent="0.25">
      <c r="A66" s="417" t="s">
        <v>338</v>
      </c>
      <c r="B66" s="418"/>
      <c r="C66" s="418"/>
      <c r="D66" s="418"/>
      <c r="E66" s="418"/>
      <c r="F66" s="418"/>
      <c r="G66" s="418"/>
      <c r="H66" s="418"/>
      <c r="I66" s="418"/>
      <c r="J66" s="418"/>
      <c r="K66" s="418"/>
      <c r="L66" s="418"/>
      <c r="M66" s="418"/>
      <c r="N66" s="418"/>
      <c r="O66" s="418"/>
      <c r="P66" s="41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c r="BD66" s="159"/>
      <c r="BE66" s="159"/>
    </row>
    <row r="67" spans="1:57" ht="15" customHeight="1" x14ac:dyDescent="0.25">
      <c r="A67" s="393" t="s">
        <v>425</v>
      </c>
      <c r="B67" s="394"/>
      <c r="C67" s="394"/>
      <c r="D67" s="394"/>
      <c r="E67" s="394"/>
      <c r="F67" s="394"/>
      <c r="G67" s="395"/>
      <c r="H67" s="405" t="s">
        <v>362</v>
      </c>
      <c r="I67" s="405"/>
      <c r="J67" s="405"/>
      <c r="K67" s="405"/>
      <c r="L67" s="405"/>
      <c r="M67" s="405"/>
      <c r="N67" s="405"/>
      <c r="O67" s="405"/>
      <c r="P67" s="406"/>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c r="AZ67" s="159"/>
      <c r="BA67" s="159"/>
      <c r="BB67" s="159"/>
      <c r="BC67" s="159"/>
      <c r="BD67" s="159"/>
      <c r="BE67" s="159"/>
    </row>
    <row r="68" spans="1:57" ht="15" customHeight="1" x14ac:dyDescent="0.25">
      <c r="A68" s="396"/>
      <c r="B68" s="397"/>
      <c r="C68" s="397"/>
      <c r="D68" s="397"/>
      <c r="E68" s="397"/>
      <c r="F68" s="397"/>
      <c r="G68" s="398"/>
      <c r="H68" s="407" t="s">
        <v>329</v>
      </c>
      <c r="I68" s="407"/>
      <c r="J68" s="407"/>
      <c r="K68" s="443" t="s">
        <v>339</v>
      </c>
      <c r="L68" s="443"/>
      <c r="M68" s="443"/>
      <c r="N68" s="443" t="s">
        <v>340</v>
      </c>
      <c r="O68" s="443"/>
      <c r="P68" s="523"/>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row>
    <row r="69" spans="1:57" ht="15" customHeight="1" x14ac:dyDescent="0.25">
      <c r="A69" s="396"/>
      <c r="B69" s="397"/>
      <c r="C69" s="397"/>
      <c r="D69" s="397"/>
      <c r="E69" s="397"/>
      <c r="F69" s="397"/>
      <c r="G69" s="398"/>
      <c r="H69" s="403" t="s">
        <v>343</v>
      </c>
      <c r="I69" s="403"/>
      <c r="J69" s="403"/>
      <c r="K69" s="402">
        <v>250</v>
      </c>
      <c r="L69" s="402"/>
      <c r="M69" s="402"/>
      <c r="N69" s="517">
        <v>275</v>
      </c>
      <c r="O69" s="518"/>
      <c r="P69" s="51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59"/>
      <c r="AV69" s="159"/>
      <c r="AW69" s="159"/>
      <c r="AX69" s="159"/>
      <c r="AY69" s="159"/>
      <c r="AZ69" s="159"/>
      <c r="BA69" s="159"/>
      <c r="BB69" s="159"/>
      <c r="BC69" s="159"/>
      <c r="BD69" s="159"/>
      <c r="BE69" s="159"/>
    </row>
    <row r="70" spans="1:57" ht="15" customHeight="1" x14ac:dyDescent="0.25">
      <c r="A70" s="396"/>
      <c r="B70" s="397"/>
      <c r="C70" s="397"/>
      <c r="D70" s="397"/>
      <c r="E70" s="397"/>
      <c r="F70" s="397"/>
      <c r="G70" s="398"/>
      <c r="H70" s="403" t="s">
        <v>342</v>
      </c>
      <c r="I70" s="403"/>
      <c r="J70" s="403"/>
      <c r="K70" s="402">
        <v>100</v>
      </c>
      <c r="L70" s="402"/>
      <c r="M70" s="402"/>
      <c r="N70" s="520"/>
      <c r="O70" s="521"/>
      <c r="P70" s="522"/>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59"/>
      <c r="BC70" s="159"/>
      <c r="BD70" s="159"/>
      <c r="BE70" s="159"/>
    </row>
    <row r="71" spans="1:57" ht="15" customHeight="1" x14ac:dyDescent="0.25">
      <c r="A71" s="396"/>
      <c r="B71" s="397"/>
      <c r="C71" s="397"/>
      <c r="D71" s="397"/>
      <c r="E71" s="397"/>
      <c r="F71" s="397"/>
      <c r="G71" s="398"/>
      <c r="H71" s="403" t="s">
        <v>191</v>
      </c>
      <c r="I71" s="403"/>
      <c r="J71" s="403"/>
      <c r="K71" s="402">
        <v>40</v>
      </c>
      <c r="L71" s="402"/>
      <c r="M71" s="402"/>
      <c r="N71" s="517">
        <v>100</v>
      </c>
      <c r="O71" s="518"/>
      <c r="P71" s="51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V71" s="159"/>
      <c r="AW71" s="159"/>
      <c r="AX71" s="159"/>
      <c r="AY71" s="159"/>
      <c r="AZ71" s="159"/>
      <c r="BA71" s="159"/>
      <c r="BB71" s="159"/>
      <c r="BC71" s="159"/>
      <c r="BD71" s="159"/>
      <c r="BE71" s="159"/>
    </row>
    <row r="72" spans="1:57" ht="15" customHeight="1" x14ac:dyDescent="0.25">
      <c r="A72" s="396"/>
      <c r="B72" s="397"/>
      <c r="C72" s="397"/>
      <c r="D72" s="397"/>
      <c r="E72" s="397"/>
      <c r="F72" s="397"/>
      <c r="G72" s="398"/>
      <c r="H72" s="403" t="s">
        <v>341</v>
      </c>
      <c r="I72" s="403"/>
      <c r="J72" s="403"/>
      <c r="K72" s="402">
        <v>100</v>
      </c>
      <c r="L72" s="402"/>
      <c r="M72" s="402"/>
      <c r="N72" s="520"/>
      <c r="O72" s="521"/>
      <c r="P72" s="522"/>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59"/>
      <c r="BC72" s="159"/>
      <c r="BD72" s="159"/>
      <c r="BE72" s="159"/>
    </row>
    <row r="73" spans="1:57" ht="15" customHeight="1" x14ac:dyDescent="0.25">
      <c r="A73" s="396"/>
      <c r="B73" s="397"/>
      <c r="C73" s="397"/>
      <c r="D73" s="397"/>
      <c r="E73" s="397"/>
      <c r="F73" s="397"/>
      <c r="G73" s="398"/>
      <c r="H73" s="403" t="s">
        <v>5</v>
      </c>
      <c r="I73" s="403"/>
      <c r="J73" s="403"/>
      <c r="K73" s="402">
        <v>300</v>
      </c>
      <c r="L73" s="402"/>
      <c r="M73" s="402"/>
      <c r="N73" s="517">
        <v>400</v>
      </c>
      <c r="O73" s="518"/>
      <c r="P73" s="519"/>
      <c r="Q73" s="159"/>
      <c r="R73" s="159"/>
      <c r="S73" s="159"/>
      <c r="T73" s="159"/>
      <c r="U73" s="159"/>
      <c r="V73" s="159"/>
      <c r="W73" s="159"/>
      <c r="X73" s="159"/>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59"/>
      <c r="AV73" s="159"/>
      <c r="AW73" s="159"/>
      <c r="AX73" s="159"/>
      <c r="AY73" s="159"/>
      <c r="AZ73" s="159"/>
      <c r="BA73" s="159"/>
      <c r="BB73" s="159"/>
      <c r="BC73" s="159"/>
      <c r="BD73" s="159"/>
      <c r="BE73" s="159"/>
    </row>
    <row r="74" spans="1:57" ht="15" customHeight="1" x14ac:dyDescent="0.25">
      <c r="A74" s="396"/>
      <c r="B74" s="397"/>
      <c r="C74" s="397"/>
      <c r="D74" s="397"/>
      <c r="E74" s="397"/>
      <c r="F74" s="397"/>
      <c r="G74" s="398"/>
      <c r="H74" s="403" t="s">
        <v>6</v>
      </c>
      <c r="I74" s="403"/>
      <c r="J74" s="403"/>
      <c r="K74" s="402">
        <v>300</v>
      </c>
      <c r="L74" s="402"/>
      <c r="M74" s="402"/>
      <c r="N74" s="524"/>
      <c r="O74" s="525"/>
      <c r="P74" s="526"/>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59"/>
      <c r="AY74" s="159"/>
      <c r="AZ74" s="159"/>
      <c r="BA74" s="159"/>
      <c r="BB74" s="159"/>
      <c r="BC74" s="159"/>
      <c r="BD74" s="159"/>
      <c r="BE74" s="159"/>
    </row>
    <row r="75" spans="1:57" s="145" customFormat="1" x14ac:dyDescent="0.25">
      <c r="A75" s="399"/>
      <c r="B75" s="400"/>
      <c r="C75" s="400"/>
      <c r="D75" s="400"/>
      <c r="E75" s="400"/>
      <c r="F75" s="400"/>
      <c r="G75" s="401"/>
      <c r="H75" s="403" t="s">
        <v>344</v>
      </c>
      <c r="I75" s="403"/>
      <c r="J75" s="403"/>
      <c r="K75" s="402">
        <v>160</v>
      </c>
      <c r="L75" s="402"/>
      <c r="M75" s="402"/>
      <c r="N75" s="520"/>
      <c r="O75" s="521"/>
      <c r="P75" s="522"/>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row>
    <row r="76" spans="1:57" x14ac:dyDescent="0.25">
      <c r="A76" s="450" t="s">
        <v>419</v>
      </c>
      <c r="B76" s="451"/>
      <c r="C76" s="451"/>
      <c r="D76" s="451"/>
      <c r="E76" s="451"/>
      <c r="F76" s="451"/>
      <c r="G76" s="451"/>
      <c r="H76" s="451"/>
      <c r="I76" s="451"/>
      <c r="J76" s="451"/>
      <c r="K76" s="451"/>
      <c r="L76" s="451"/>
      <c r="M76" s="451"/>
      <c r="N76" s="451"/>
      <c r="O76" s="451"/>
      <c r="P76" s="452"/>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row>
    <row r="77" spans="1:57" ht="15" customHeight="1" x14ac:dyDescent="0.25">
      <c r="A77" s="512" t="s">
        <v>417</v>
      </c>
      <c r="B77" s="439"/>
      <c r="C77" s="439"/>
      <c r="D77" s="439"/>
      <c r="E77" s="439"/>
      <c r="F77" s="439"/>
      <c r="G77" s="439"/>
      <c r="H77" s="439"/>
      <c r="I77" s="439"/>
      <c r="J77" s="439"/>
      <c r="K77" s="439"/>
      <c r="L77" s="439"/>
      <c r="M77" s="439"/>
      <c r="N77" s="439"/>
      <c r="O77" s="439"/>
      <c r="P77" s="513"/>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row>
    <row r="78" spans="1:57" x14ac:dyDescent="0.25">
      <c r="A78" s="512"/>
      <c r="B78" s="439"/>
      <c r="C78" s="439"/>
      <c r="D78" s="439"/>
      <c r="E78" s="439"/>
      <c r="F78" s="439"/>
      <c r="G78" s="439"/>
      <c r="H78" s="439"/>
      <c r="I78" s="439"/>
      <c r="J78" s="439"/>
      <c r="K78" s="439"/>
      <c r="L78" s="439"/>
      <c r="M78" s="439"/>
      <c r="N78" s="439"/>
      <c r="O78" s="439"/>
      <c r="P78" s="513"/>
      <c r="Q78" s="159"/>
      <c r="R78" s="159"/>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59"/>
      <c r="BC78" s="159"/>
      <c r="BD78" s="159"/>
      <c r="BE78" s="159"/>
    </row>
    <row r="79" spans="1:57" s="145" customFormat="1" ht="15" customHeight="1" x14ac:dyDescent="0.25">
      <c r="A79" s="396" t="s">
        <v>418</v>
      </c>
      <c r="B79" s="397"/>
      <c r="C79" s="397"/>
      <c r="D79" s="397"/>
      <c r="E79" s="397"/>
      <c r="F79" s="397"/>
      <c r="G79" s="397"/>
      <c r="H79" s="397"/>
      <c r="I79" s="397"/>
      <c r="J79" s="397"/>
      <c r="K79" s="397"/>
      <c r="L79" s="397"/>
      <c r="M79" s="397"/>
      <c r="N79" s="397"/>
      <c r="O79" s="397"/>
      <c r="P79" s="404"/>
      <c r="Q79" s="159"/>
      <c r="R79" s="159"/>
      <c r="S79" s="159"/>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59"/>
      <c r="BD79" s="159"/>
      <c r="BE79" s="159"/>
    </row>
    <row r="80" spans="1:57" s="145" customFormat="1" ht="34.5" customHeight="1" x14ac:dyDescent="0.25">
      <c r="A80" s="396"/>
      <c r="B80" s="397"/>
      <c r="C80" s="397"/>
      <c r="D80" s="397"/>
      <c r="E80" s="397"/>
      <c r="F80" s="397"/>
      <c r="G80" s="397"/>
      <c r="H80" s="397"/>
      <c r="I80" s="397"/>
      <c r="J80" s="397"/>
      <c r="K80" s="397"/>
      <c r="L80" s="397"/>
      <c r="M80" s="397"/>
      <c r="N80" s="397"/>
      <c r="O80" s="397"/>
      <c r="P80" s="404"/>
      <c r="Q80" s="159"/>
      <c r="R80" s="159"/>
      <c r="S80" s="159"/>
      <c r="T80" s="159"/>
      <c r="U80" s="159"/>
      <c r="V80" s="159"/>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c r="BB80" s="159"/>
      <c r="BC80" s="159"/>
      <c r="BD80" s="159"/>
      <c r="BE80" s="159"/>
    </row>
    <row r="81" spans="1:57" s="145" customFormat="1" x14ac:dyDescent="0.25">
      <c r="A81" s="480" t="s">
        <v>347</v>
      </c>
      <c r="B81" s="481"/>
      <c r="C81" s="481"/>
      <c r="D81" s="481"/>
      <c r="E81" s="481"/>
      <c r="F81" s="481"/>
      <c r="G81" s="481"/>
      <c r="H81" s="481"/>
      <c r="I81" s="481"/>
      <c r="J81" s="481"/>
      <c r="K81" s="481"/>
      <c r="L81" s="481"/>
      <c r="M81" s="481"/>
      <c r="N81" s="481"/>
      <c r="O81" s="481"/>
      <c r="P81" s="504"/>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row>
    <row r="82" spans="1:57" s="145" customFormat="1" ht="15" customHeight="1" x14ac:dyDescent="0.25">
      <c r="A82" s="512" t="s">
        <v>375</v>
      </c>
      <c r="B82" s="439"/>
      <c r="C82" s="439"/>
      <c r="D82" s="439"/>
      <c r="E82" s="439"/>
      <c r="F82" s="439"/>
      <c r="G82" s="439"/>
      <c r="H82" s="439"/>
      <c r="I82" s="439"/>
      <c r="J82" s="439"/>
      <c r="K82" s="439"/>
      <c r="L82" s="439"/>
      <c r="M82" s="439"/>
      <c r="N82" s="439"/>
      <c r="O82" s="439"/>
      <c r="P82" s="513"/>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row>
    <row r="83" spans="1:57" s="145" customFormat="1" x14ac:dyDescent="0.25">
      <c r="A83" s="514"/>
      <c r="B83" s="515"/>
      <c r="C83" s="515"/>
      <c r="D83" s="515"/>
      <c r="E83" s="515"/>
      <c r="F83" s="515"/>
      <c r="G83" s="515"/>
      <c r="H83" s="515"/>
      <c r="I83" s="515"/>
      <c r="J83" s="515"/>
      <c r="K83" s="515"/>
      <c r="L83" s="515"/>
      <c r="M83" s="515"/>
      <c r="N83" s="515"/>
      <c r="O83" s="515"/>
      <c r="P83" s="516"/>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AX83" s="159"/>
      <c r="AY83" s="159"/>
      <c r="AZ83" s="159"/>
      <c r="BA83" s="159"/>
      <c r="BB83" s="159"/>
      <c r="BC83" s="159"/>
      <c r="BD83" s="159"/>
      <c r="BE83" s="159"/>
    </row>
    <row r="84" spans="1:57" x14ac:dyDescent="0.25">
      <c r="A84" s="417" t="s">
        <v>426</v>
      </c>
      <c r="B84" s="418"/>
      <c r="C84" s="418"/>
      <c r="D84" s="418"/>
      <c r="E84" s="418"/>
      <c r="F84" s="418"/>
      <c r="G84" s="418"/>
      <c r="H84" s="418"/>
      <c r="I84" s="418"/>
      <c r="J84" s="418"/>
      <c r="K84" s="418"/>
      <c r="L84" s="418"/>
      <c r="M84" s="418"/>
      <c r="N84" s="418"/>
      <c r="O84" s="418"/>
      <c r="P84" s="41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row>
    <row r="85" spans="1:57" ht="15" customHeight="1" x14ac:dyDescent="0.25">
      <c r="A85" s="393" t="s">
        <v>429</v>
      </c>
      <c r="B85" s="394"/>
      <c r="C85" s="394"/>
      <c r="D85" s="394"/>
      <c r="E85" s="394"/>
      <c r="F85" s="394"/>
      <c r="G85" s="394"/>
      <c r="H85" s="394"/>
      <c r="I85" s="394"/>
      <c r="J85" s="395"/>
      <c r="K85" s="508" t="s">
        <v>427</v>
      </c>
      <c r="L85" s="509"/>
      <c r="M85" s="509"/>
      <c r="N85" s="509"/>
      <c r="O85" s="509"/>
      <c r="P85" s="510"/>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AX85" s="159"/>
      <c r="AY85" s="159"/>
      <c r="AZ85" s="159"/>
      <c r="BA85" s="159"/>
      <c r="BB85" s="159"/>
      <c r="BC85" s="159"/>
      <c r="BD85" s="159"/>
      <c r="BE85" s="159"/>
    </row>
    <row r="86" spans="1:57" ht="34.5" customHeight="1" x14ac:dyDescent="0.25">
      <c r="A86" s="396"/>
      <c r="B86" s="397"/>
      <c r="C86" s="397"/>
      <c r="D86" s="397"/>
      <c r="E86" s="397"/>
      <c r="F86" s="397"/>
      <c r="G86" s="397"/>
      <c r="H86" s="397"/>
      <c r="I86" s="397"/>
      <c r="J86" s="398"/>
      <c r="K86" s="501" t="s">
        <v>428</v>
      </c>
      <c r="L86" s="501"/>
      <c r="M86" s="501"/>
      <c r="N86" s="501" t="s">
        <v>369</v>
      </c>
      <c r="O86" s="501"/>
      <c r="P86" s="511"/>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159"/>
      <c r="BA86" s="159"/>
      <c r="BB86" s="159"/>
      <c r="BC86" s="159"/>
      <c r="BD86" s="159"/>
      <c r="BE86" s="159"/>
    </row>
    <row r="87" spans="1:57" x14ac:dyDescent="0.25">
      <c r="A87" s="396"/>
      <c r="B87" s="397"/>
      <c r="C87" s="397"/>
      <c r="D87" s="397"/>
      <c r="E87" s="397"/>
      <c r="F87" s="397"/>
      <c r="G87" s="397"/>
      <c r="H87" s="397"/>
      <c r="I87" s="397"/>
      <c r="J87" s="398"/>
      <c r="K87" s="391" t="s">
        <v>357</v>
      </c>
      <c r="L87" s="391"/>
      <c r="M87" s="391"/>
      <c r="N87" s="505">
        <v>1</v>
      </c>
      <c r="O87" s="506"/>
      <c r="P87" s="507"/>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159"/>
      <c r="AW87" s="159"/>
      <c r="AX87" s="159"/>
      <c r="AY87" s="159"/>
      <c r="AZ87" s="159"/>
      <c r="BA87" s="159"/>
      <c r="BB87" s="159"/>
      <c r="BC87" s="159"/>
      <c r="BD87" s="159"/>
      <c r="BE87" s="159"/>
    </row>
    <row r="88" spans="1:57" x14ac:dyDescent="0.25">
      <c r="A88" s="396"/>
      <c r="B88" s="397"/>
      <c r="C88" s="397"/>
      <c r="D88" s="397"/>
      <c r="E88" s="397"/>
      <c r="F88" s="397"/>
      <c r="G88" s="397"/>
      <c r="H88" s="397"/>
      <c r="I88" s="397"/>
      <c r="J88" s="398"/>
      <c r="K88" s="391" t="s">
        <v>358</v>
      </c>
      <c r="L88" s="391"/>
      <c r="M88" s="391"/>
      <c r="N88" s="505">
        <v>0.75</v>
      </c>
      <c r="O88" s="506"/>
      <c r="P88" s="507"/>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159"/>
      <c r="AW88" s="159"/>
      <c r="AX88" s="159"/>
      <c r="AY88" s="159"/>
      <c r="AZ88" s="159"/>
      <c r="BA88" s="159"/>
      <c r="BB88" s="159"/>
      <c r="BC88" s="159"/>
      <c r="BD88" s="159"/>
      <c r="BE88" s="159"/>
    </row>
    <row r="89" spans="1:57" x14ac:dyDescent="0.25">
      <c r="A89" s="396"/>
      <c r="B89" s="397"/>
      <c r="C89" s="397"/>
      <c r="D89" s="397"/>
      <c r="E89" s="397"/>
      <c r="F89" s="397"/>
      <c r="G89" s="397"/>
      <c r="H89" s="397"/>
      <c r="I89" s="397"/>
      <c r="J89" s="398"/>
      <c r="K89" s="391" t="s">
        <v>359</v>
      </c>
      <c r="L89" s="391"/>
      <c r="M89" s="391"/>
      <c r="N89" s="505">
        <v>0.5</v>
      </c>
      <c r="O89" s="506"/>
      <c r="P89" s="507"/>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row>
    <row r="90" spans="1:57" x14ac:dyDescent="0.25">
      <c r="A90" s="399"/>
      <c r="B90" s="400"/>
      <c r="C90" s="400"/>
      <c r="D90" s="400"/>
      <c r="E90" s="400"/>
      <c r="F90" s="400"/>
      <c r="G90" s="400"/>
      <c r="H90" s="400"/>
      <c r="I90" s="400"/>
      <c r="J90" s="401"/>
      <c r="K90" s="392" t="s">
        <v>360</v>
      </c>
      <c r="L90" s="392"/>
      <c r="M90" s="392"/>
      <c r="N90" s="505">
        <v>0.25</v>
      </c>
      <c r="O90" s="506"/>
      <c r="P90" s="507"/>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59"/>
      <c r="AY90" s="159"/>
      <c r="AZ90" s="159"/>
      <c r="BA90" s="159"/>
      <c r="BB90" s="159"/>
      <c r="BC90" s="159"/>
      <c r="BD90" s="159"/>
      <c r="BE90" s="159"/>
    </row>
    <row r="91" spans="1:57" s="145" customFormat="1" x14ac:dyDescent="0.25">
      <c r="A91" s="450" t="s">
        <v>322</v>
      </c>
      <c r="B91" s="451"/>
      <c r="C91" s="451"/>
      <c r="D91" s="451"/>
      <c r="E91" s="451"/>
      <c r="F91" s="451"/>
      <c r="G91" s="451"/>
      <c r="H91" s="451"/>
      <c r="I91" s="451"/>
      <c r="J91" s="451"/>
      <c r="K91" s="451"/>
      <c r="L91" s="451"/>
      <c r="M91" s="451"/>
      <c r="N91" s="451"/>
      <c r="O91" s="451"/>
      <c r="P91" s="452"/>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159"/>
      <c r="AW91" s="159"/>
      <c r="AX91" s="159"/>
      <c r="AY91" s="159"/>
      <c r="AZ91" s="159"/>
      <c r="BA91" s="159"/>
      <c r="BB91" s="159"/>
      <c r="BC91" s="159"/>
      <c r="BD91" s="159"/>
      <c r="BE91" s="159"/>
    </row>
    <row r="92" spans="1:57" s="145" customFormat="1" x14ac:dyDescent="0.25">
      <c r="A92" s="396" t="s">
        <v>361</v>
      </c>
      <c r="B92" s="397"/>
      <c r="C92" s="397"/>
      <c r="D92" s="397"/>
      <c r="E92" s="397"/>
      <c r="F92" s="397"/>
      <c r="G92" s="397"/>
      <c r="H92" s="397"/>
      <c r="I92" s="397"/>
      <c r="J92" s="397"/>
      <c r="K92" s="397"/>
      <c r="L92" s="397"/>
      <c r="M92" s="397"/>
      <c r="N92" s="397"/>
      <c r="O92" s="397"/>
      <c r="P92" s="404"/>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59"/>
      <c r="AY92" s="159"/>
      <c r="AZ92" s="159"/>
      <c r="BA92" s="159"/>
      <c r="BB92" s="159"/>
      <c r="BC92" s="159"/>
      <c r="BD92" s="159"/>
      <c r="BE92" s="159"/>
    </row>
    <row r="93" spans="1:57" s="145" customFormat="1" x14ac:dyDescent="0.25">
      <c r="A93" s="396" t="s">
        <v>363</v>
      </c>
      <c r="B93" s="397"/>
      <c r="C93" s="397"/>
      <c r="D93" s="397"/>
      <c r="E93" s="397"/>
      <c r="F93" s="397"/>
      <c r="G93" s="397"/>
      <c r="H93" s="397"/>
      <c r="I93" s="397"/>
      <c r="J93" s="397"/>
      <c r="K93" s="397"/>
      <c r="L93" s="397"/>
      <c r="M93" s="397"/>
      <c r="N93" s="397"/>
      <c r="O93" s="397"/>
      <c r="P93" s="404"/>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59"/>
      <c r="AS93" s="159"/>
      <c r="AT93" s="159"/>
      <c r="AU93" s="159"/>
      <c r="AV93" s="159"/>
      <c r="AW93" s="159"/>
      <c r="AX93" s="159"/>
      <c r="AY93" s="159"/>
      <c r="AZ93" s="159"/>
      <c r="BA93" s="159"/>
      <c r="BB93" s="159"/>
      <c r="BC93" s="159"/>
      <c r="BD93" s="159"/>
      <c r="BE93" s="159"/>
    </row>
    <row r="94" spans="1:57" s="145" customFormat="1" ht="28.5" customHeight="1" x14ac:dyDescent="0.25">
      <c r="A94" s="396" t="s">
        <v>430</v>
      </c>
      <c r="B94" s="397"/>
      <c r="C94" s="397"/>
      <c r="D94" s="397"/>
      <c r="E94" s="397"/>
      <c r="F94" s="397"/>
      <c r="G94" s="397"/>
      <c r="H94" s="397"/>
      <c r="I94" s="397"/>
      <c r="J94" s="397"/>
      <c r="K94" s="397"/>
      <c r="L94" s="397"/>
      <c r="M94" s="397"/>
      <c r="N94" s="397"/>
      <c r="O94" s="397"/>
      <c r="P94" s="404"/>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c r="BC94" s="159"/>
      <c r="BD94" s="159"/>
      <c r="BE94" s="159"/>
    </row>
    <row r="95" spans="1:57" s="145" customFormat="1" x14ac:dyDescent="0.25">
      <c r="A95" s="533" t="s">
        <v>370</v>
      </c>
      <c r="B95" s="534"/>
      <c r="C95" s="534"/>
      <c r="D95" s="534"/>
      <c r="E95" s="534"/>
      <c r="F95" s="535"/>
      <c r="G95" s="203"/>
      <c r="H95" s="203"/>
      <c r="I95" s="203"/>
      <c r="J95" s="203"/>
      <c r="K95" s="203"/>
      <c r="L95" s="203"/>
      <c r="M95" s="203"/>
      <c r="N95" s="203"/>
      <c r="O95" s="203"/>
      <c r="P95" s="204"/>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59"/>
      <c r="AS95" s="159"/>
      <c r="AT95" s="159"/>
      <c r="AU95" s="159"/>
      <c r="AV95" s="159"/>
      <c r="AW95" s="159"/>
      <c r="AX95" s="159"/>
      <c r="AY95" s="159"/>
      <c r="AZ95" s="159"/>
      <c r="BA95" s="159"/>
      <c r="BB95" s="159"/>
      <c r="BC95" s="159"/>
      <c r="BD95" s="159"/>
      <c r="BE95" s="159"/>
    </row>
    <row r="96" spans="1:57" s="145" customFormat="1" ht="30" customHeight="1" x14ac:dyDescent="0.25">
      <c r="A96" s="533" t="s">
        <v>364</v>
      </c>
      <c r="B96" s="534"/>
      <c r="C96" s="535"/>
      <c r="D96" s="536" t="s">
        <v>373</v>
      </c>
      <c r="E96" s="534"/>
      <c r="F96" s="535"/>
      <c r="G96" s="193"/>
      <c r="H96" s="193"/>
      <c r="I96" s="193"/>
      <c r="J96" s="193"/>
      <c r="K96" s="193"/>
      <c r="L96" s="193"/>
      <c r="M96" s="193"/>
      <c r="N96" s="193"/>
      <c r="O96" s="193"/>
      <c r="P96" s="194"/>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59"/>
      <c r="BE96" s="159"/>
    </row>
    <row r="97" spans="1:57" s="145" customFormat="1" x14ac:dyDescent="0.25">
      <c r="A97" s="527" t="s">
        <v>365</v>
      </c>
      <c r="B97" s="528"/>
      <c r="C97" s="532"/>
      <c r="D97" s="529">
        <v>1</v>
      </c>
      <c r="E97" s="530"/>
      <c r="F97" s="531"/>
      <c r="G97" s="193"/>
      <c r="H97" s="193"/>
      <c r="I97" s="193"/>
      <c r="J97" s="193"/>
      <c r="K97" s="193"/>
      <c r="L97" s="193"/>
      <c r="M97" s="193"/>
      <c r="N97" s="193"/>
      <c r="O97" s="193"/>
      <c r="P97" s="194"/>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159"/>
      <c r="AY97" s="159"/>
      <c r="AZ97" s="159"/>
      <c r="BA97" s="159"/>
      <c r="BB97" s="159"/>
      <c r="BC97" s="159"/>
      <c r="BD97" s="159"/>
      <c r="BE97" s="159"/>
    </row>
    <row r="98" spans="1:57" s="145" customFormat="1" x14ac:dyDescent="0.25">
      <c r="A98" s="527" t="s">
        <v>366</v>
      </c>
      <c r="B98" s="528"/>
      <c r="C98" s="532"/>
      <c r="D98" s="529">
        <v>0.75</v>
      </c>
      <c r="E98" s="530"/>
      <c r="F98" s="531"/>
      <c r="G98" s="193"/>
      <c r="H98" s="193"/>
      <c r="I98" s="193"/>
      <c r="J98" s="193"/>
      <c r="K98" s="193"/>
      <c r="L98" s="193"/>
      <c r="M98" s="193"/>
      <c r="N98" s="193"/>
      <c r="O98" s="193"/>
      <c r="P98" s="194"/>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59"/>
      <c r="AZ98" s="159"/>
      <c r="BA98" s="159"/>
      <c r="BB98" s="159"/>
      <c r="BC98" s="159"/>
      <c r="BD98" s="159"/>
      <c r="BE98" s="159"/>
    </row>
    <row r="99" spans="1:57" s="145" customFormat="1" x14ac:dyDescent="0.25">
      <c r="A99" s="527" t="s">
        <v>367</v>
      </c>
      <c r="B99" s="528"/>
      <c r="C99" s="532"/>
      <c r="D99" s="529">
        <v>0.5</v>
      </c>
      <c r="E99" s="530"/>
      <c r="F99" s="531"/>
      <c r="G99" s="193"/>
      <c r="H99" s="193"/>
      <c r="I99" s="193"/>
      <c r="J99" s="193"/>
      <c r="K99" s="193"/>
      <c r="L99" s="193"/>
      <c r="M99" s="193"/>
      <c r="N99" s="193"/>
      <c r="O99" s="193"/>
      <c r="P99" s="194"/>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59"/>
      <c r="BD99" s="159"/>
      <c r="BE99" s="159"/>
    </row>
    <row r="100" spans="1:57" s="145" customFormat="1" x14ac:dyDescent="0.25">
      <c r="A100" s="527" t="s">
        <v>368</v>
      </c>
      <c r="B100" s="528"/>
      <c r="C100" s="532"/>
      <c r="D100" s="529">
        <v>0.25</v>
      </c>
      <c r="E100" s="530"/>
      <c r="F100" s="531"/>
      <c r="G100" s="193"/>
      <c r="H100" s="193"/>
      <c r="I100" s="193"/>
      <c r="J100" s="193"/>
      <c r="K100" s="193"/>
      <c r="L100" s="193"/>
      <c r="M100" s="193"/>
      <c r="N100" s="193"/>
      <c r="O100" s="193"/>
      <c r="P100" s="194"/>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59"/>
      <c r="AY100" s="159"/>
      <c r="AZ100" s="159"/>
      <c r="BA100" s="159"/>
      <c r="BB100" s="159"/>
      <c r="BC100" s="159"/>
      <c r="BD100" s="159"/>
      <c r="BE100" s="159"/>
    </row>
    <row r="101" spans="1:57" s="145" customFormat="1" ht="15" customHeight="1" x14ac:dyDescent="0.25">
      <c r="A101" s="396" t="s">
        <v>431</v>
      </c>
      <c r="B101" s="397"/>
      <c r="C101" s="397"/>
      <c r="D101" s="397"/>
      <c r="E101" s="397"/>
      <c r="F101" s="397"/>
      <c r="G101" s="397"/>
      <c r="H101" s="397"/>
      <c r="I101" s="397"/>
      <c r="J101" s="397"/>
      <c r="K101" s="397"/>
      <c r="L101" s="397"/>
      <c r="M101" s="397"/>
      <c r="N101" s="397"/>
      <c r="O101" s="397"/>
      <c r="P101" s="404"/>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59"/>
      <c r="AS101" s="159"/>
      <c r="AT101" s="159"/>
      <c r="AU101" s="159"/>
      <c r="AV101" s="159"/>
      <c r="AW101" s="159"/>
      <c r="AX101" s="159"/>
      <c r="AY101" s="159"/>
      <c r="AZ101" s="159"/>
      <c r="BA101" s="159"/>
      <c r="BB101" s="159"/>
      <c r="BC101" s="159"/>
      <c r="BD101" s="159"/>
      <c r="BE101" s="159"/>
    </row>
    <row r="102" spans="1:57" s="145" customFormat="1" ht="30.75" customHeight="1" x14ac:dyDescent="0.25">
      <c r="A102" s="396"/>
      <c r="B102" s="397"/>
      <c r="C102" s="397"/>
      <c r="D102" s="397"/>
      <c r="E102" s="397"/>
      <c r="F102" s="397"/>
      <c r="G102" s="397"/>
      <c r="H102" s="397"/>
      <c r="I102" s="397"/>
      <c r="J102" s="397"/>
      <c r="K102" s="397"/>
      <c r="L102" s="397"/>
      <c r="M102" s="397"/>
      <c r="N102" s="397"/>
      <c r="O102" s="397"/>
      <c r="P102" s="404"/>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59"/>
      <c r="BD102" s="159"/>
      <c r="BE102" s="159"/>
    </row>
    <row r="103" spans="1:57" s="145" customFormat="1" ht="15" customHeight="1" x14ac:dyDescent="0.25">
      <c r="A103" s="533" t="s">
        <v>372</v>
      </c>
      <c r="B103" s="534"/>
      <c r="C103" s="534"/>
      <c r="D103" s="534"/>
      <c r="E103" s="534"/>
      <c r="F103" s="534"/>
      <c r="G103" s="534"/>
      <c r="H103" s="534"/>
      <c r="I103" s="534"/>
      <c r="J103" s="534"/>
      <c r="K103" s="535"/>
      <c r="L103" s="203"/>
      <c r="M103" s="203"/>
      <c r="N103" s="203"/>
      <c r="O103" s="203"/>
      <c r="P103" s="204"/>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59"/>
      <c r="AS103" s="159"/>
      <c r="AT103" s="159"/>
      <c r="AU103" s="159"/>
      <c r="AV103" s="159"/>
      <c r="AW103" s="159"/>
      <c r="AX103" s="159"/>
      <c r="AY103" s="159"/>
      <c r="AZ103" s="159"/>
      <c r="BA103" s="159"/>
      <c r="BB103" s="159"/>
      <c r="BC103" s="159"/>
      <c r="BD103" s="159"/>
      <c r="BE103" s="159"/>
    </row>
    <row r="104" spans="1:57" s="145" customFormat="1" ht="15" customHeight="1" x14ac:dyDescent="0.25">
      <c r="A104" s="533" t="s">
        <v>364</v>
      </c>
      <c r="B104" s="534"/>
      <c r="C104" s="534"/>
      <c r="D104" s="536" t="s">
        <v>374</v>
      </c>
      <c r="E104" s="534"/>
      <c r="F104" s="535"/>
      <c r="G104" s="536" t="s">
        <v>373</v>
      </c>
      <c r="H104" s="534"/>
      <c r="I104" s="535"/>
      <c r="J104" s="536" t="s">
        <v>371</v>
      </c>
      <c r="K104" s="535"/>
      <c r="L104" s="203"/>
      <c r="M104" s="203"/>
      <c r="N104" s="203"/>
      <c r="O104" s="203"/>
      <c r="P104" s="204"/>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c r="AQ104" s="159"/>
      <c r="AR104" s="159"/>
      <c r="AS104" s="159"/>
      <c r="AT104" s="159"/>
      <c r="AU104" s="159"/>
      <c r="AV104" s="159"/>
      <c r="AW104" s="159"/>
      <c r="AX104" s="159"/>
      <c r="AY104" s="159"/>
      <c r="AZ104" s="159"/>
      <c r="BA104" s="159"/>
      <c r="BB104" s="159"/>
      <c r="BC104" s="159"/>
      <c r="BD104" s="159"/>
      <c r="BE104" s="159"/>
    </row>
    <row r="105" spans="1:57" s="145" customFormat="1" x14ac:dyDescent="0.25">
      <c r="A105" s="527" t="s">
        <v>365</v>
      </c>
      <c r="B105" s="528"/>
      <c r="C105" s="528"/>
      <c r="D105" s="537">
        <v>50</v>
      </c>
      <c r="E105" s="528"/>
      <c r="F105" s="532"/>
      <c r="G105" s="529">
        <v>1</v>
      </c>
      <c r="H105" s="530"/>
      <c r="I105" s="531"/>
      <c r="J105" s="538">
        <f>50</f>
        <v>50</v>
      </c>
      <c r="K105" s="539"/>
      <c r="L105" s="203"/>
      <c r="M105" s="203"/>
      <c r="N105" s="203"/>
      <c r="O105" s="203"/>
      <c r="P105" s="204"/>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row>
    <row r="106" spans="1:57" s="145" customFormat="1" x14ac:dyDescent="0.25">
      <c r="A106" s="527" t="s">
        <v>366</v>
      </c>
      <c r="B106" s="528"/>
      <c r="C106" s="528"/>
      <c r="D106" s="537">
        <v>50</v>
      </c>
      <c r="E106" s="528"/>
      <c r="F106" s="532"/>
      <c r="G106" s="529">
        <v>0.75</v>
      </c>
      <c r="H106" s="530"/>
      <c r="I106" s="531"/>
      <c r="J106" s="538">
        <f>50*0.75</f>
        <v>37.5</v>
      </c>
      <c r="K106" s="539"/>
      <c r="L106" s="203"/>
      <c r="M106" s="203"/>
      <c r="N106" s="203"/>
      <c r="O106" s="203"/>
      <c r="P106" s="204"/>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row>
    <row r="107" spans="1:57" s="145" customFormat="1" x14ac:dyDescent="0.25">
      <c r="A107" s="527" t="s">
        <v>367</v>
      </c>
      <c r="B107" s="528"/>
      <c r="C107" s="528"/>
      <c r="D107" s="537">
        <v>25</v>
      </c>
      <c r="E107" s="528"/>
      <c r="F107" s="532"/>
      <c r="G107" s="529">
        <v>0.5</v>
      </c>
      <c r="H107" s="530"/>
      <c r="I107" s="531"/>
      <c r="J107" s="538">
        <f>25*0.5</f>
        <v>12.5</v>
      </c>
      <c r="K107" s="539"/>
      <c r="L107" s="203"/>
      <c r="M107" s="203"/>
      <c r="N107" s="203"/>
      <c r="O107" s="203"/>
      <c r="P107" s="204"/>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row>
    <row r="108" spans="1:57" s="145" customFormat="1" x14ac:dyDescent="0.25">
      <c r="A108" s="527" t="s">
        <v>368</v>
      </c>
      <c r="B108" s="528"/>
      <c r="C108" s="528"/>
      <c r="D108" s="537">
        <v>0</v>
      </c>
      <c r="E108" s="528"/>
      <c r="F108" s="532"/>
      <c r="G108" s="529">
        <v>0.25</v>
      </c>
      <c r="H108" s="530"/>
      <c r="I108" s="531"/>
      <c r="J108" s="538">
        <v>0</v>
      </c>
      <c r="K108" s="539"/>
      <c r="L108" s="203"/>
      <c r="M108" s="203"/>
      <c r="N108" s="203"/>
      <c r="O108" s="203"/>
      <c r="P108" s="204"/>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row>
    <row r="109" spans="1:57" s="145" customFormat="1" x14ac:dyDescent="0.25">
      <c r="A109" s="533" t="s">
        <v>9</v>
      </c>
      <c r="B109" s="534"/>
      <c r="C109" s="534"/>
      <c r="D109" s="537">
        <f>SUM(D105:F108)</f>
        <v>125</v>
      </c>
      <c r="E109" s="528"/>
      <c r="F109" s="532"/>
      <c r="G109" s="529"/>
      <c r="H109" s="530"/>
      <c r="I109" s="531"/>
      <c r="J109" s="538">
        <f>SUM(J105:K108)</f>
        <v>100</v>
      </c>
      <c r="K109" s="539"/>
      <c r="L109" s="203"/>
      <c r="M109" s="203"/>
      <c r="N109" s="203"/>
      <c r="O109" s="203"/>
      <c r="P109" s="204"/>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59"/>
      <c r="AY109" s="159"/>
      <c r="AZ109" s="159"/>
      <c r="BA109" s="159"/>
      <c r="BB109" s="159"/>
      <c r="BC109" s="159"/>
      <c r="BD109" s="159"/>
      <c r="BE109" s="159"/>
    </row>
    <row r="110" spans="1:57" s="145" customFormat="1" ht="45" customHeight="1" x14ac:dyDescent="0.25">
      <c r="A110" s="397" t="s">
        <v>432</v>
      </c>
      <c r="B110" s="397"/>
      <c r="C110" s="397"/>
      <c r="D110" s="397"/>
      <c r="E110" s="397"/>
      <c r="F110" s="397"/>
      <c r="G110" s="397"/>
      <c r="H110" s="397"/>
      <c r="I110" s="397"/>
      <c r="J110" s="397"/>
      <c r="K110" s="397"/>
      <c r="L110" s="397"/>
      <c r="M110" s="397"/>
      <c r="N110" s="397"/>
      <c r="O110" s="397"/>
      <c r="P110" s="404"/>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59"/>
      <c r="AY110" s="159"/>
      <c r="AZ110" s="159"/>
      <c r="BA110" s="159"/>
      <c r="BB110" s="159"/>
      <c r="BC110" s="159"/>
      <c r="BD110" s="159"/>
      <c r="BE110" s="159"/>
    </row>
    <row r="111" spans="1:57" s="145" customFormat="1" x14ac:dyDescent="0.25">
      <c r="A111" s="480" t="s">
        <v>347</v>
      </c>
      <c r="B111" s="481"/>
      <c r="C111" s="481"/>
      <c r="D111" s="481"/>
      <c r="E111" s="481"/>
      <c r="F111" s="481"/>
      <c r="G111" s="481"/>
      <c r="H111" s="481"/>
      <c r="I111" s="481"/>
      <c r="J111" s="481"/>
      <c r="K111" s="481"/>
      <c r="L111" s="481"/>
      <c r="M111" s="481"/>
      <c r="N111" s="481"/>
      <c r="O111" s="481"/>
      <c r="P111" s="504"/>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159"/>
      <c r="AZ111" s="159"/>
      <c r="BA111" s="159"/>
      <c r="BB111" s="159"/>
      <c r="BC111" s="159"/>
      <c r="BD111" s="159"/>
      <c r="BE111" s="159"/>
    </row>
    <row r="112" spans="1:57" s="145" customFormat="1" x14ac:dyDescent="0.25">
      <c r="A112" s="396" t="s">
        <v>376</v>
      </c>
      <c r="B112" s="397"/>
      <c r="C112" s="397"/>
      <c r="D112" s="397"/>
      <c r="E112" s="397"/>
      <c r="F112" s="397"/>
      <c r="G112" s="397"/>
      <c r="H112" s="397"/>
      <c r="I112" s="397"/>
      <c r="J112" s="397"/>
      <c r="K112" s="397"/>
      <c r="L112" s="397"/>
      <c r="M112" s="397"/>
      <c r="N112" s="397"/>
      <c r="O112" s="397"/>
      <c r="P112" s="404"/>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row>
    <row r="113" spans="1:57" x14ac:dyDescent="0.25">
      <c r="A113" s="200"/>
      <c r="B113" s="201"/>
      <c r="C113" s="201"/>
      <c r="D113" s="201"/>
      <c r="E113" s="201"/>
      <c r="F113" s="201"/>
      <c r="G113" s="201"/>
      <c r="H113" s="201"/>
      <c r="I113" s="201"/>
      <c r="J113" s="201"/>
      <c r="K113" s="201"/>
      <c r="L113" s="201"/>
      <c r="M113" s="201"/>
      <c r="N113" s="201"/>
      <c r="O113" s="201"/>
      <c r="P113" s="202"/>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row>
    <row r="114" spans="1:57" x14ac:dyDescent="0.25">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row>
    <row r="115" spans="1:57" ht="15.75" customHeight="1" x14ac:dyDescent="0.25">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row>
    <row r="116" spans="1:57" x14ac:dyDescent="0.25">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row>
    <row r="117" spans="1:57" x14ac:dyDescent="0.25">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row>
    <row r="118" spans="1:57" x14ac:dyDescent="0.25">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59"/>
      <c r="AZ118" s="159"/>
      <c r="BA118" s="159"/>
      <c r="BB118" s="159"/>
      <c r="BC118" s="159"/>
      <c r="BD118" s="159"/>
      <c r="BE118" s="159"/>
    </row>
    <row r="119" spans="1:57" x14ac:dyDescent="0.25">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159"/>
      <c r="BD119" s="159"/>
      <c r="BE119" s="159"/>
    </row>
    <row r="120" spans="1:57" x14ac:dyDescent="0.25">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159"/>
      <c r="BD120" s="159"/>
      <c r="BE120" s="159"/>
    </row>
    <row r="121" spans="1:57" x14ac:dyDescent="0.25">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159"/>
      <c r="BD121" s="159"/>
      <c r="BE121" s="159"/>
    </row>
    <row r="122" spans="1:57" x14ac:dyDescent="0.25">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59"/>
      <c r="BE122" s="159"/>
    </row>
    <row r="123" spans="1:57" x14ac:dyDescent="0.25">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59"/>
      <c r="AY123" s="159"/>
      <c r="AZ123" s="159"/>
      <c r="BA123" s="159"/>
      <c r="BB123" s="159"/>
      <c r="BC123" s="159"/>
      <c r="BD123" s="159"/>
      <c r="BE123" s="159"/>
    </row>
    <row r="124" spans="1:57" x14ac:dyDescent="0.25">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59"/>
      <c r="AV124" s="159"/>
      <c r="AW124" s="159"/>
      <c r="AX124" s="159"/>
      <c r="AY124" s="159"/>
      <c r="AZ124" s="159"/>
      <c r="BA124" s="159"/>
      <c r="BB124" s="159"/>
      <c r="BC124" s="159"/>
      <c r="BD124" s="159"/>
      <c r="BE124" s="159"/>
    </row>
    <row r="125" spans="1:57" x14ac:dyDescent="0.25">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59"/>
      <c r="AY125" s="159"/>
      <c r="AZ125" s="159"/>
      <c r="BA125" s="159"/>
      <c r="BB125" s="159"/>
      <c r="BC125" s="159"/>
      <c r="BD125" s="159"/>
      <c r="BE125" s="159"/>
    </row>
    <row r="126" spans="1:57" x14ac:dyDescent="0.25">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59"/>
      <c r="AP126" s="159"/>
      <c r="AQ126" s="159"/>
      <c r="AR126" s="159"/>
      <c r="AS126" s="159"/>
      <c r="AT126" s="159"/>
      <c r="AU126" s="159"/>
      <c r="AV126" s="159"/>
      <c r="AW126" s="159"/>
      <c r="AX126" s="159"/>
      <c r="AY126" s="159"/>
      <c r="AZ126" s="159"/>
      <c r="BA126" s="159"/>
      <c r="BB126" s="159"/>
      <c r="BC126" s="159"/>
      <c r="BD126" s="159"/>
      <c r="BE126" s="159"/>
    </row>
    <row r="127" spans="1:57" x14ac:dyDescent="0.25">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row>
    <row r="128" spans="1:57" x14ac:dyDescent="0.25">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row>
    <row r="129" spans="1:57" x14ac:dyDescent="0.25">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row>
    <row r="130" spans="1:57" x14ac:dyDescent="0.25">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59"/>
      <c r="AY130" s="159"/>
      <c r="AZ130" s="159"/>
      <c r="BA130" s="159"/>
      <c r="BB130" s="159"/>
      <c r="BC130" s="159"/>
      <c r="BD130" s="159"/>
      <c r="BE130" s="159"/>
    </row>
    <row r="131" spans="1:57" x14ac:dyDescent="0.25">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159"/>
      <c r="BA131" s="159"/>
      <c r="BB131" s="159"/>
      <c r="BC131" s="159"/>
      <c r="BD131" s="159"/>
      <c r="BE131" s="159"/>
    </row>
    <row r="132" spans="1:57" x14ac:dyDescent="0.25">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59"/>
      <c r="AP132" s="159"/>
      <c r="AQ132" s="159"/>
      <c r="AR132" s="159"/>
      <c r="AS132" s="159"/>
      <c r="AT132" s="159"/>
      <c r="AU132" s="159"/>
      <c r="AV132" s="159"/>
      <c r="AW132" s="159"/>
      <c r="AX132" s="159"/>
      <c r="AY132" s="159"/>
      <c r="AZ132" s="159"/>
      <c r="BA132" s="159"/>
      <c r="BB132" s="159"/>
      <c r="BC132" s="159"/>
      <c r="BD132" s="159"/>
      <c r="BE132" s="159"/>
    </row>
    <row r="133" spans="1:57" x14ac:dyDescent="0.25">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59"/>
      <c r="AZ133" s="159"/>
      <c r="BA133" s="159"/>
      <c r="BB133" s="159"/>
      <c r="BC133" s="159"/>
      <c r="BD133" s="159"/>
      <c r="BE133" s="159"/>
    </row>
    <row r="134" spans="1:57" x14ac:dyDescent="0.25">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59"/>
      <c r="AZ134" s="159"/>
      <c r="BA134" s="159"/>
      <c r="BB134" s="159"/>
      <c r="BC134" s="159"/>
      <c r="BD134" s="159"/>
      <c r="BE134" s="159"/>
    </row>
    <row r="135" spans="1:57" x14ac:dyDescent="0.25">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c r="AO135" s="159"/>
      <c r="AP135" s="159"/>
      <c r="AQ135" s="159"/>
      <c r="AR135" s="159"/>
      <c r="AS135" s="159"/>
      <c r="AT135" s="159"/>
      <c r="AU135" s="159"/>
      <c r="AV135" s="159"/>
      <c r="AW135" s="159"/>
      <c r="AX135" s="159"/>
      <c r="AY135" s="159"/>
      <c r="AZ135" s="159"/>
      <c r="BA135" s="159"/>
      <c r="BB135" s="159"/>
      <c r="BC135" s="159"/>
      <c r="BD135" s="159"/>
      <c r="BE135" s="159"/>
    </row>
    <row r="136" spans="1:57" x14ac:dyDescent="0.25">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59"/>
      <c r="AV136" s="159"/>
      <c r="AW136" s="159"/>
      <c r="AX136" s="159"/>
      <c r="AY136" s="159"/>
      <c r="AZ136" s="159"/>
      <c r="BA136" s="159"/>
      <c r="BB136" s="159"/>
      <c r="BC136" s="159"/>
      <c r="BD136" s="159"/>
      <c r="BE136" s="159"/>
    </row>
    <row r="137" spans="1:57" x14ac:dyDescent="0.25">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9"/>
      <c r="AM137" s="159"/>
      <c r="AN137" s="159"/>
      <c r="AO137" s="159"/>
      <c r="AP137" s="159"/>
      <c r="AQ137" s="159"/>
      <c r="AR137" s="159"/>
      <c r="AS137" s="159"/>
      <c r="AT137" s="159"/>
      <c r="AU137" s="159"/>
      <c r="AV137" s="159"/>
      <c r="AW137" s="159"/>
      <c r="AX137" s="159"/>
      <c r="AY137" s="159"/>
      <c r="AZ137" s="159"/>
      <c r="BA137" s="159"/>
      <c r="BB137" s="159"/>
      <c r="BC137" s="159"/>
      <c r="BD137" s="159"/>
      <c r="BE137" s="159"/>
    </row>
    <row r="138" spans="1:57" x14ac:dyDescent="0.25">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c r="AG138" s="159"/>
      <c r="AH138" s="159"/>
      <c r="AI138" s="159"/>
      <c r="AJ138" s="159"/>
      <c r="AK138" s="159"/>
      <c r="AL138" s="159"/>
      <c r="AM138" s="159"/>
      <c r="AN138" s="159"/>
      <c r="AO138" s="159"/>
      <c r="AP138" s="159"/>
      <c r="AQ138" s="159"/>
      <c r="AR138" s="159"/>
      <c r="AS138" s="159"/>
      <c r="AT138" s="159"/>
      <c r="AU138" s="159"/>
      <c r="AV138" s="159"/>
      <c r="AW138" s="159"/>
      <c r="AX138" s="159"/>
      <c r="AY138" s="159"/>
      <c r="AZ138" s="159"/>
      <c r="BA138" s="159"/>
      <c r="BB138" s="159"/>
      <c r="BC138" s="159"/>
      <c r="BD138" s="159"/>
      <c r="BE138" s="159"/>
    </row>
    <row r="139" spans="1:57" x14ac:dyDescent="0.25">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59"/>
      <c r="AY139" s="159"/>
      <c r="AZ139" s="159"/>
      <c r="BA139" s="159"/>
      <c r="BB139" s="159"/>
      <c r="BC139" s="159"/>
      <c r="BD139" s="159"/>
      <c r="BE139" s="159"/>
    </row>
    <row r="140" spans="1:57" x14ac:dyDescent="0.25">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row>
  </sheetData>
  <sheetProtection password="8CF0" sheet="1" objects="1" scenarios="1" selectLockedCells="1"/>
  <mergeCells count="189">
    <mergeCell ref="A109:C109"/>
    <mergeCell ref="D109:F109"/>
    <mergeCell ref="G109:I109"/>
    <mergeCell ref="J109:K109"/>
    <mergeCell ref="A110:P110"/>
    <mergeCell ref="A111:P111"/>
    <mergeCell ref="A112:P112"/>
    <mergeCell ref="J104:K104"/>
    <mergeCell ref="A103:K103"/>
    <mergeCell ref="J105:K105"/>
    <mergeCell ref="J106:K106"/>
    <mergeCell ref="J107:K107"/>
    <mergeCell ref="J108:K108"/>
    <mergeCell ref="A108:C108"/>
    <mergeCell ref="G108:I108"/>
    <mergeCell ref="D104:F104"/>
    <mergeCell ref="D105:F105"/>
    <mergeCell ref="D106:F106"/>
    <mergeCell ref="D107:F107"/>
    <mergeCell ref="D108:F108"/>
    <mergeCell ref="A104:C104"/>
    <mergeCell ref="G104:I104"/>
    <mergeCell ref="A105:C105"/>
    <mergeCell ref="G105:I105"/>
    <mergeCell ref="A106:C106"/>
    <mergeCell ref="G106:I106"/>
    <mergeCell ref="A107:C107"/>
    <mergeCell ref="G107:I107"/>
    <mergeCell ref="A101:P102"/>
    <mergeCell ref="A100:C100"/>
    <mergeCell ref="D100:F100"/>
    <mergeCell ref="A93:P93"/>
    <mergeCell ref="A92:P92"/>
    <mergeCell ref="A94:P94"/>
    <mergeCell ref="A96:C96"/>
    <mergeCell ref="A97:C97"/>
    <mergeCell ref="A98:C98"/>
    <mergeCell ref="A99:C99"/>
    <mergeCell ref="D99:F99"/>
    <mergeCell ref="D98:F98"/>
    <mergeCell ref="D97:F97"/>
    <mergeCell ref="D96:F96"/>
    <mergeCell ref="A95:F95"/>
    <mergeCell ref="A59:P60"/>
    <mergeCell ref="N87:P87"/>
    <mergeCell ref="N88:P88"/>
    <mergeCell ref="N89:P89"/>
    <mergeCell ref="N90:P90"/>
    <mergeCell ref="K85:P85"/>
    <mergeCell ref="K86:M86"/>
    <mergeCell ref="N86:P86"/>
    <mergeCell ref="A91:P91"/>
    <mergeCell ref="A63:P63"/>
    <mergeCell ref="A64:P64"/>
    <mergeCell ref="A76:P76"/>
    <mergeCell ref="A81:P81"/>
    <mergeCell ref="A82:P83"/>
    <mergeCell ref="N69:P70"/>
    <mergeCell ref="K68:M68"/>
    <mergeCell ref="N68:P68"/>
    <mergeCell ref="A77:P78"/>
    <mergeCell ref="A84:P84"/>
    <mergeCell ref="H75:J75"/>
    <mergeCell ref="K75:M75"/>
    <mergeCell ref="N73:P75"/>
    <mergeCell ref="N71:P72"/>
    <mergeCell ref="A67:G75"/>
    <mergeCell ref="A1:P2"/>
    <mergeCell ref="A3:P4"/>
    <mergeCell ref="A6:P6"/>
    <mergeCell ref="A10:P10"/>
    <mergeCell ref="A11:P11"/>
    <mergeCell ref="A12:P12"/>
    <mergeCell ref="I17:J17"/>
    <mergeCell ref="K17:L17"/>
    <mergeCell ref="M17:O17"/>
    <mergeCell ref="A8:P8"/>
    <mergeCell ref="A7:P7"/>
    <mergeCell ref="A15:P15"/>
    <mergeCell ref="A9:P9"/>
    <mergeCell ref="A14:P14"/>
    <mergeCell ref="A13:P13"/>
    <mergeCell ref="M22:O22"/>
    <mergeCell ref="M21:O21"/>
    <mergeCell ref="M20:O20"/>
    <mergeCell ref="M19:O19"/>
    <mergeCell ref="M18:O18"/>
    <mergeCell ref="A21:H22"/>
    <mergeCell ref="I21:J21"/>
    <mergeCell ref="I22:J22"/>
    <mergeCell ref="I18:J18"/>
    <mergeCell ref="I19:J19"/>
    <mergeCell ref="I20:J20"/>
    <mergeCell ref="K18:L18"/>
    <mergeCell ref="K19:L19"/>
    <mergeCell ref="K20:L20"/>
    <mergeCell ref="K21:L21"/>
    <mergeCell ref="K22:L22"/>
    <mergeCell ref="A16:H19"/>
    <mergeCell ref="I16:P16"/>
    <mergeCell ref="A20:H20"/>
    <mergeCell ref="D41:F41"/>
    <mergeCell ref="D40:F40"/>
    <mergeCell ref="G40:I40"/>
    <mergeCell ref="G41:I41"/>
    <mergeCell ref="A23:P23"/>
    <mergeCell ref="A28:P28"/>
    <mergeCell ref="B29:N29"/>
    <mergeCell ref="B30:N30"/>
    <mergeCell ref="A35:P37"/>
    <mergeCell ref="A40:C40"/>
    <mergeCell ref="A41:C41"/>
    <mergeCell ref="A24:P27"/>
    <mergeCell ref="A38:P38"/>
    <mergeCell ref="B31:N32"/>
    <mergeCell ref="B33:N34"/>
    <mergeCell ref="A39:I39"/>
    <mergeCell ref="O29:P34"/>
    <mergeCell ref="A29:A34"/>
    <mergeCell ref="A52:C52"/>
    <mergeCell ref="D52:F52"/>
    <mergeCell ref="G52:I52"/>
    <mergeCell ref="A53:C53"/>
    <mergeCell ref="D53:F53"/>
    <mergeCell ref="G42:I42"/>
    <mergeCell ref="G43:I43"/>
    <mergeCell ref="G44:I44"/>
    <mergeCell ref="G45:I45"/>
    <mergeCell ref="G46:I46"/>
    <mergeCell ref="A42:C42"/>
    <mergeCell ref="A43:C43"/>
    <mergeCell ref="A44:C44"/>
    <mergeCell ref="A45:C45"/>
    <mergeCell ref="A46:C46"/>
    <mergeCell ref="D46:F46"/>
    <mergeCell ref="D45:F45"/>
    <mergeCell ref="D44:F44"/>
    <mergeCell ref="D43:F43"/>
    <mergeCell ref="D42:F42"/>
    <mergeCell ref="A49:P50"/>
    <mergeCell ref="B47:K47"/>
    <mergeCell ref="B48:K48"/>
    <mergeCell ref="A57:C57"/>
    <mergeCell ref="D57:F57"/>
    <mergeCell ref="G57:I57"/>
    <mergeCell ref="G53:I53"/>
    <mergeCell ref="A54:C54"/>
    <mergeCell ref="D54:F54"/>
    <mergeCell ref="G54:I54"/>
    <mergeCell ref="A55:C55"/>
    <mergeCell ref="D55:F55"/>
    <mergeCell ref="G55:I55"/>
    <mergeCell ref="H67:P67"/>
    <mergeCell ref="H68:J68"/>
    <mergeCell ref="K74:M74"/>
    <mergeCell ref="K72:M72"/>
    <mergeCell ref="K70:M70"/>
    <mergeCell ref="K73:M73"/>
    <mergeCell ref="K71:M71"/>
    <mergeCell ref="J58:L58"/>
    <mergeCell ref="A51:L51"/>
    <mergeCell ref="A65:P65"/>
    <mergeCell ref="A66:P66"/>
    <mergeCell ref="J52:L52"/>
    <mergeCell ref="J53:L53"/>
    <mergeCell ref="J54:L54"/>
    <mergeCell ref="J55:L55"/>
    <mergeCell ref="J56:L56"/>
    <mergeCell ref="J57:L57"/>
    <mergeCell ref="A58:C58"/>
    <mergeCell ref="D58:F58"/>
    <mergeCell ref="G58:I58"/>
    <mergeCell ref="A61:P62"/>
    <mergeCell ref="A56:C56"/>
    <mergeCell ref="D56:F56"/>
    <mergeCell ref="G56:I56"/>
    <mergeCell ref="K88:M88"/>
    <mergeCell ref="K89:M89"/>
    <mergeCell ref="K90:M90"/>
    <mergeCell ref="K87:M87"/>
    <mergeCell ref="A85:J90"/>
    <mergeCell ref="K69:M69"/>
    <mergeCell ref="H69:J69"/>
    <mergeCell ref="H70:J70"/>
    <mergeCell ref="H71:J71"/>
    <mergeCell ref="H72:J72"/>
    <mergeCell ref="H73:J73"/>
    <mergeCell ref="H74:J74"/>
    <mergeCell ref="A79:P80"/>
  </mergeCells>
  <pageMargins left="0.7" right="0.7" top="0.75" bottom="0.75" header="0.3" footer="0.3"/>
  <pageSetup scale="22" fitToHeight="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499984740745262"/>
  </sheetPr>
  <dimension ref="A1:T56"/>
  <sheetViews>
    <sheetView zoomScaleNormal="100" workbookViewId="0">
      <selection activeCell="B9" sqref="B9"/>
    </sheetView>
  </sheetViews>
  <sheetFormatPr defaultRowHeight="15" x14ac:dyDescent="0.25"/>
  <cols>
    <col min="1" max="1" width="29" bestFit="1" customWidth="1"/>
    <col min="2" max="2" width="14" bestFit="1" customWidth="1"/>
    <col min="3" max="3" width="23.7109375" bestFit="1" customWidth="1"/>
    <col min="4" max="4" width="7" bestFit="1" customWidth="1"/>
  </cols>
  <sheetData>
    <row r="1" spans="1:20" s="145" customFormat="1" ht="15" customHeight="1" x14ac:dyDescent="0.25">
      <c r="A1" s="546" t="s">
        <v>154</v>
      </c>
      <c r="B1" s="547"/>
      <c r="C1" s="547"/>
      <c r="D1" s="548"/>
      <c r="E1" s="159"/>
      <c r="F1" s="159"/>
      <c r="G1" s="159"/>
      <c r="H1" s="159"/>
      <c r="I1" s="159"/>
      <c r="J1" s="159"/>
      <c r="K1" s="159"/>
      <c r="L1" s="159"/>
      <c r="M1" s="159"/>
      <c r="N1" s="159"/>
      <c r="O1" s="159"/>
      <c r="P1" s="159"/>
      <c r="Q1" s="159"/>
      <c r="R1" s="159"/>
      <c r="S1" s="159"/>
      <c r="T1" s="159"/>
    </row>
    <row r="2" spans="1:20" s="145" customFormat="1" ht="15" customHeight="1" x14ac:dyDescent="0.25">
      <c r="A2" s="546"/>
      <c r="B2" s="547"/>
      <c r="C2" s="547"/>
      <c r="D2" s="548"/>
      <c r="E2" s="159"/>
      <c r="F2" s="159"/>
      <c r="G2" s="159"/>
      <c r="H2" s="159"/>
      <c r="I2" s="159"/>
      <c r="J2" s="159"/>
      <c r="K2" s="159"/>
      <c r="L2" s="159"/>
      <c r="M2" s="159"/>
      <c r="N2" s="159"/>
      <c r="O2" s="159"/>
      <c r="P2" s="159"/>
      <c r="Q2" s="159"/>
      <c r="R2" s="159"/>
      <c r="S2" s="159"/>
      <c r="T2" s="159"/>
    </row>
    <row r="3" spans="1:20" s="145" customFormat="1" ht="15" customHeight="1" x14ac:dyDescent="0.25">
      <c r="A3" s="549" t="s">
        <v>465</v>
      </c>
      <c r="B3" s="550"/>
      <c r="C3" s="550"/>
      <c r="D3" s="551"/>
      <c r="E3" s="159"/>
      <c r="F3" s="159"/>
      <c r="G3" s="159"/>
      <c r="H3" s="159"/>
      <c r="I3" s="159"/>
      <c r="J3" s="159"/>
      <c r="K3" s="159"/>
      <c r="L3" s="159"/>
      <c r="M3" s="159"/>
      <c r="N3" s="159"/>
      <c r="O3" s="159"/>
      <c r="P3" s="159"/>
      <c r="Q3" s="159"/>
      <c r="R3" s="159"/>
      <c r="S3" s="159"/>
      <c r="T3" s="159"/>
    </row>
    <row r="4" spans="1:20" s="145" customFormat="1" ht="15" customHeight="1" x14ac:dyDescent="0.25">
      <c r="A4" s="549"/>
      <c r="B4" s="550"/>
      <c r="C4" s="550"/>
      <c r="D4" s="551"/>
      <c r="E4" s="159"/>
      <c r="F4" s="159"/>
      <c r="G4" s="159"/>
      <c r="H4" s="159"/>
      <c r="I4" s="159"/>
      <c r="J4" s="159"/>
      <c r="K4" s="159"/>
      <c r="L4" s="159"/>
      <c r="M4" s="159"/>
      <c r="N4" s="159"/>
      <c r="O4" s="159"/>
      <c r="P4" s="159"/>
      <c r="Q4" s="159"/>
      <c r="R4" s="159"/>
      <c r="S4" s="159"/>
      <c r="T4" s="159"/>
    </row>
    <row r="5" spans="1:20" s="145" customFormat="1" ht="15" customHeight="1" x14ac:dyDescent="0.25">
      <c r="A5" s="159"/>
      <c r="B5" s="159"/>
      <c r="C5" s="159"/>
      <c r="D5" s="159"/>
      <c r="E5" s="159"/>
      <c r="F5" s="159"/>
      <c r="G5" s="159"/>
      <c r="H5" s="159"/>
      <c r="I5" s="159"/>
      <c r="J5" s="159"/>
      <c r="K5" s="159"/>
      <c r="L5" s="159"/>
      <c r="M5" s="159"/>
      <c r="N5" s="159"/>
      <c r="O5" s="159"/>
      <c r="P5" s="159"/>
      <c r="Q5" s="159"/>
      <c r="R5" s="159"/>
      <c r="S5" s="159"/>
      <c r="T5" s="159"/>
    </row>
    <row r="6" spans="1:20" s="145" customFormat="1" ht="36" customHeight="1" x14ac:dyDescent="0.25">
      <c r="A6" s="159"/>
      <c r="B6" s="159"/>
      <c r="C6" s="159"/>
      <c r="D6" s="159"/>
      <c r="E6" s="159"/>
      <c r="F6" s="159"/>
      <c r="G6" s="159"/>
      <c r="H6" s="159"/>
      <c r="I6" s="159"/>
      <c r="J6" s="159"/>
      <c r="K6" s="159"/>
      <c r="L6" s="159"/>
      <c r="M6" s="159"/>
      <c r="N6" s="159"/>
      <c r="O6" s="159"/>
      <c r="P6" s="159"/>
      <c r="Q6" s="159"/>
      <c r="R6" s="159"/>
      <c r="S6" s="159"/>
      <c r="T6" s="159"/>
    </row>
    <row r="7" spans="1:20" s="97" customFormat="1" x14ac:dyDescent="0.25">
      <c r="A7" s="543" t="s">
        <v>457</v>
      </c>
      <c r="B7" s="544"/>
      <c r="C7" s="544"/>
      <c r="D7" s="545"/>
      <c r="E7" s="159"/>
      <c r="F7" s="159"/>
      <c r="G7" s="159"/>
      <c r="H7" s="159"/>
      <c r="I7" s="159"/>
      <c r="J7" s="159"/>
      <c r="K7" s="159"/>
      <c r="L7" s="159"/>
      <c r="M7" s="159"/>
      <c r="N7" s="159"/>
      <c r="O7" s="159"/>
      <c r="P7" s="159"/>
      <c r="Q7" s="159"/>
      <c r="R7" s="159"/>
      <c r="S7" s="159"/>
      <c r="T7" s="159"/>
    </row>
    <row r="8" spans="1:20" x14ac:dyDescent="0.25">
      <c r="A8" s="322"/>
      <c r="B8" s="323" t="s">
        <v>178</v>
      </c>
      <c r="C8" s="323" t="s">
        <v>179</v>
      </c>
      <c r="D8" s="323" t="s">
        <v>193</v>
      </c>
      <c r="E8" s="159"/>
      <c r="F8" s="159"/>
      <c r="G8" s="159"/>
      <c r="H8" s="159"/>
      <c r="I8" s="159"/>
      <c r="J8" s="159"/>
      <c r="K8" s="159"/>
      <c r="L8" s="159"/>
      <c r="M8" s="159"/>
      <c r="N8" s="159"/>
      <c r="O8" s="159"/>
      <c r="P8" s="159"/>
      <c r="Q8" s="159"/>
      <c r="R8" s="159"/>
      <c r="S8" s="159"/>
      <c r="T8" s="159"/>
    </row>
    <row r="9" spans="1:20" x14ac:dyDescent="0.25">
      <c r="A9" s="324" t="s">
        <v>185</v>
      </c>
      <c r="B9" s="328">
        <v>6000</v>
      </c>
      <c r="C9" s="329">
        <v>600</v>
      </c>
      <c r="D9" s="325">
        <v>1</v>
      </c>
      <c r="E9" s="159"/>
      <c r="F9" s="159"/>
      <c r="G9" s="159"/>
      <c r="H9" s="159"/>
      <c r="I9" s="159"/>
      <c r="J9" s="159"/>
      <c r="K9" s="159"/>
      <c r="L9" s="159"/>
      <c r="M9" s="159"/>
      <c r="N9" s="159"/>
      <c r="O9" s="159"/>
      <c r="P9" s="159"/>
      <c r="Q9" s="159"/>
      <c r="R9" s="159"/>
      <c r="S9" s="159"/>
      <c r="T9" s="159"/>
    </row>
    <row r="10" spans="1:20" x14ac:dyDescent="0.25">
      <c r="A10" s="324" t="s">
        <v>166</v>
      </c>
      <c r="B10" s="328">
        <v>35000</v>
      </c>
      <c r="C10" s="329">
        <v>800</v>
      </c>
      <c r="D10" s="325">
        <v>1</v>
      </c>
      <c r="E10" s="159"/>
      <c r="F10" s="159"/>
      <c r="G10" s="159"/>
      <c r="H10" s="159"/>
      <c r="I10" s="159"/>
      <c r="J10" s="159"/>
      <c r="K10" s="159"/>
      <c r="L10" s="159"/>
      <c r="M10" s="159"/>
      <c r="N10" s="159"/>
      <c r="O10" s="159"/>
      <c r="P10" s="159"/>
      <c r="Q10" s="159"/>
      <c r="R10" s="159"/>
      <c r="S10" s="159"/>
      <c r="T10" s="159"/>
    </row>
    <row r="11" spans="1:20" s="97" customFormat="1" x14ac:dyDescent="0.25">
      <c r="A11" s="159"/>
      <c r="B11" s="320"/>
      <c r="C11" s="320"/>
      <c r="D11" s="321"/>
      <c r="E11" s="159"/>
      <c r="F11" s="159"/>
      <c r="G11" s="159"/>
      <c r="H11" s="159"/>
      <c r="I11" s="159"/>
      <c r="J11" s="159"/>
      <c r="K11" s="159"/>
      <c r="L11" s="159"/>
      <c r="M11" s="159"/>
      <c r="N11" s="159"/>
      <c r="O11" s="159"/>
      <c r="P11" s="159"/>
      <c r="Q11" s="159"/>
      <c r="R11" s="159"/>
      <c r="S11" s="159"/>
      <c r="T11" s="159"/>
    </row>
    <row r="12" spans="1:20" x14ac:dyDescent="0.25">
      <c r="A12" s="543" t="s">
        <v>458</v>
      </c>
      <c r="B12" s="544"/>
      <c r="C12" s="544"/>
      <c r="D12" s="545"/>
      <c r="E12" s="159"/>
      <c r="F12" s="159"/>
      <c r="G12" s="159"/>
      <c r="H12" s="159"/>
      <c r="I12" s="159"/>
      <c r="J12" s="159"/>
      <c r="K12" s="159"/>
      <c r="L12" s="159"/>
      <c r="M12" s="159"/>
      <c r="N12" s="159"/>
      <c r="O12" s="159"/>
      <c r="P12" s="159"/>
      <c r="Q12" s="159"/>
      <c r="R12" s="159"/>
      <c r="S12" s="159"/>
      <c r="T12" s="159"/>
    </row>
    <row r="13" spans="1:20" x14ac:dyDescent="0.25">
      <c r="A13" s="326" t="s">
        <v>177</v>
      </c>
      <c r="B13" s="323" t="s">
        <v>174</v>
      </c>
      <c r="C13" s="323" t="s">
        <v>460</v>
      </c>
      <c r="D13" s="323" t="s">
        <v>193</v>
      </c>
      <c r="E13" s="159"/>
      <c r="F13" s="159"/>
      <c r="G13" s="159"/>
      <c r="H13" s="159"/>
      <c r="I13" s="159"/>
      <c r="J13" s="159"/>
      <c r="K13" s="159"/>
      <c r="L13" s="159"/>
      <c r="M13" s="159"/>
      <c r="N13" s="159"/>
      <c r="O13" s="159"/>
      <c r="P13" s="159"/>
      <c r="Q13" s="159"/>
      <c r="R13" s="159"/>
      <c r="S13" s="159"/>
      <c r="T13" s="159"/>
    </row>
    <row r="14" spans="1:20" x14ac:dyDescent="0.25">
      <c r="A14" s="324" t="s">
        <v>180</v>
      </c>
      <c r="B14" s="540"/>
      <c r="C14" s="541"/>
      <c r="D14" s="542"/>
      <c r="E14" s="159"/>
      <c r="F14" s="159"/>
      <c r="G14" s="159"/>
      <c r="H14" s="159"/>
      <c r="I14" s="159"/>
      <c r="J14" s="159"/>
      <c r="K14" s="159"/>
      <c r="L14" s="159"/>
      <c r="M14" s="159"/>
      <c r="N14" s="159"/>
      <c r="O14" s="159"/>
      <c r="P14" s="159"/>
      <c r="Q14" s="159"/>
      <c r="R14" s="159"/>
      <c r="S14" s="159"/>
      <c r="T14" s="159"/>
    </row>
    <row r="15" spans="1:20" x14ac:dyDescent="0.25">
      <c r="A15" s="327" t="s">
        <v>194</v>
      </c>
      <c r="B15" s="330">
        <v>400</v>
      </c>
      <c r="C15" s="330">
        <v>0</v>
      </c>
      <c r="D15" s="331">
        <v>2</v>
      </c>
      <c r="E15" s="159"/>
      <c r="F15" s="159"/>
      <c r="G15" s="159"/>
      <c r="H15" s="159"/>
      <c r="I15" s="159"/>
      <c r="J15" s="159"/>
      <c r="K15" s="159"/>
      <c r="L15" s="159"/>
      <c r="M15" s="159"/>
      <c r="N15" s="159"/>
      <c r="O15" s="159"/>
      <c r="P15" s="159"/>
      <c r="Q15" s="159"/>
      <c r="R15" s="159"/>
      <c r="S15" s="159"/>
      <c r="T15" s="159"/>
    </row>
    <row r="16" spans="1:20" x14ac:dyDescent="0.25">
      <c r="A16" s="327" t="s">
        <v>195</v>
      </c>
      <c r="B16" s="330">
        <v>800</v>
      </c>
      <c r="C16" s="330">
        <v>0</v>
      </c>
      <c r="D16" s="331">
        <v>7</v>
      </c>
      <c r="E16" s="159"/>
      <c r="F16" s="159"/>
      <c r="G16" s="159"/>
      <c r="H16" s="159"/>
      <c r="I16" s="159"/>
      <c r="J16" s="159"/>
      <c r="K16" s="159"/>
      <c r="L16" s="159"/>
      <c r="M16" s="159"/>
      <c r="N16" s="159"/>
      <c r="O16" s="159"/>
      <c r="P16" s="159"/>
      <c r="Q16" s="159"/>
      <c r="R16" s="159"/>
      <c r="S16" s="159"/>
      <c r="T16" s="159"/>
    </row>
    <row r="17" spans="1:20" x14ac:dyDescent="0.25">
      <c r="A17" s="327" t="s">
        <v>196</v>
      </c>
      <c r="B17" s="330">
        <v>6500</v>
      </c>
      <c r="C17" s="330">
        <v>0</v>
      </c>
      <c r="D17" s="331">
        <v>40</v>
      </c>
      <c r="E17" s="159"/>
      <c r="F17" s="159"/>
      <c r="G17" s="159"/>
      <c r="H17" s="159"/>
      <c r="I17" s="159"/>
      <c r="J17" s="159"/>
      <c r="K17" s="159"/>
      <c r="L17" s="159"/>
      <c r="M17" s="159"/>
      <c r="N17" s="159"/>
      <c r="O17" s="159"/>
      <c r="P17" s="159"/>
      <c r="Q17" s="159"/>
      <c r="R17" s="159"/>
      <c r="S17" s="159"/>
      <c r="T17" s="159"/>
    </row>
    <row r="18" spans="1:20" x14ac:dyDescent="0.25">
      <c r="A18" s="327" t="s">
        <v>197</v>
      </c>
      <c r="B18" s="330">
        <v>26000</v>
      </c>
      <c r="C18" s="330">
        <v>25</v>
      </c>
      <c r="D18" s="331">
        <v>40</v>
      </c>
      <c r="E18" s="159"/>
      <c r="F18" s="159"/>
      <c r="G18" s="159"/>
      <c r="H18" s="159"/>
      <c r="I18" s="159"/>
      <c r="J18" s="159"/>
      <c r="K18" s="159"/>
      <c r="L18" s="159"/>
      <c r="M18" s="159"/>
      <c r="N18" s="159"/>
      <c r="O18" s="159"/>
      <c r="P18" s="159"/>
      <c r="Q18" s="159"/>
      <c r="R18" s="159"/>
      <c r="S18" s="159"/>
      <c r="T18" s="159"/>
    </row>
    <row r="19" spans="1:20" x14ac:dyDescent="0.25">
      <c r="A19" s="324" t="s">
        <v>8</v>
      </c>
      <c r="B19" s="330">
        <v>2200</v>
      </c>
      <c r="C19" s="330">
        <v>25</v>
      </c>
      <c r="D19" s="331">
        <v>2</v>
      </c>
      <c r="E19" s="159"/>
      <c r="F19" s="159"/>
      <c r="G19" s="159"/>
      <c r="H19" s="159"/>
      <c r="I19" s="159"/>
      <c r="J19" s="159"/>
      <c r="K19" s="159"/>
      <c r="L19" s="159"/>
      <c r="M19" s="159"/>
      <c r="N19" s="159"/>
      <c r="O19" s="159"/>
      <c r="P19" s="159"/>
      <c r="Q19" s="159"/>
      <c r="R19" s="159"/>
      <c r="S19" s="159"/>
      <c r="T19" s="159"/>
    </row>
    <row r="20" spans="1:20" x14ac:dyDescent="0.25">
      <c r="A20" s="324" t="s">
        <v>181</v>
      </c>
      <c r="B20" s="330">
        <v>10500</v>
      </c>
      <c r="C20" s="330">
        <v>400</v>
      </c>
      <c r="D20" s="331">
        <v>4</v>
      </c>
      <c r="E20" s="159"/>
      <c r="F20" s="159"/>
      <c r="G20" s="159"/>
      <c r="H20" s="159"/>
      <c r="I20" s="159"/>
      <c r="J20" s="159"/>
      <c r="K20" s="159"/>
      <c r="L20" s="159"/>
      <c r="M20" s="159"/>
      <c r="N20" s="159"/>
      <c r="O20" s="159"/>
      <c r="P20" s="159"/>
      <c r="Q20" s="159"/>
      <c r="R20" s="159"/>
      <c r="S20" s="159"/>
      <c r="T20" s="159"/>
    </row>
    <row r="21" spans="1:20" x14ac:dyDescent="0.25">
      <c r="A21" s="324" t="s">
        <v>149</v>
      </c>
      <c r="B21" s="330">
        <v>470870.19230769231</v>
      </c>
      <c r="C21" s="330">
        <v>43200</v>
      </c>
      <c r="D21" s="331">
        <v>150</v>
      </c>
      <c r="E21" s="159"/>
      <c r="F21" s="159"/>
      <c r="G21" s="159"/>
      <c r="H21" s="159"/>
      <c r="I21" s="159"/>
      <c r="J21" s="159"/>
      <c r="K21" s="159"/>
      <c r="L21" s="159"/>
      <c r="M21" s="159"/>
      <c r="N21" s="159"/>
      <c r="O21" s="159"/>
      <c r="P21" s="159"/>
      <c r="Q21" s="159"/>
      <c r="R21" s="159"/>
      <c r="S21" s="159"/>
      <c r="T21" s="159"/>
    </row>
    <row r="22" spans="1:20" x14ac:dyDescent="0.25">
      <c r="A22" s="324" t="s">
        <v>182</v>
      </c>
      <c r="B22" s="330">
        <v>470870.19230769231</v>
      </c>
      <c r="C22" s="330">
        <v>93600</v>
      </c>
      <c r="D22" s="331">
        <v>150</v>
      </c>
      <c r="E22" s="159"/>
      <c r="F22" s="159"/>
      <c r="G22" s="159"/>
      <c r="H22" s="159"/>
      <c r="I22" s="159"/>
      <c r="J22" s="159"/>
      <c r="K22" s="159"/>
      <c r="L22" s="159"/>
      <c r="M22" s="159"/>
      <c r="N22" s="159"/>
      <c r="O22" s="159"/>
      <c r="P22" s="159"/>
      <c r="Q22" s="159"/>
      <c r="R22" s="159"/>
      <c r="S22" s="159"/>
      <c r="T22" s="159"/>
    </row>
    <row r="23" spans="1:20" x14ac:dyDescent="0.25">
      <c r="A23" s="324" t="s">
        <v>38</v>
      </c>
      <c r="B23" s="330">
        <v>8000</v>
      </c>
      <c r="C23" s="330">
        <v>400</v>
      </c>
      <c r="D23" s="331">
        <v>40</v>
      </c>
      <c r="E23" s="159"/>
      <c r="F23" s="159"/>
      <c r="G23" s="159"/>
      <c r="H23" s="159"/>
      <c r="I23" s="159"/>
      <c r="J23" s="159"/>
      <c r="K23" s="159"/>
      <c r="L23" s="159"/>
      <c r="M23" s="159"/>
      <c r="N23" s="159"/>
      <c r="O23" s="159"/>
      <c r="P23" s="159"/>
      <c r="Q23" s="159"/>
      <c r="R23" s="159"/>
      <c r="S23" s="159"/>
      <c r="T23" s="159"/>
    </row>
    <row r="24" spans="1:20" x14ac:dyDescent="0.25">
      <c r="A24" s="159"/>
      <c r="B24" s="159"/>
      <c r="C24" s="159"/>
      <c r="D24" s="159"/>
      <c r="E24" s="159"/>
      <c r="F24" s="159"/>
      <c r="G24" s="159"/>
      <c r="H24" s="159"/>
      <c r="I24" s="159"/>
      <c r="J24" s="159"/>
      <c r="K24" s="159"/>
      <c r="L24" s="159"/>
      <c r="M24" s="159"/>
      <c r="N24" s="159"/>
      <c r="O24" s="159"/>
      <c r="P24" s="159"/>
      <c r="Q24" s="159"/>
      <c r="R24" s="159"/>
      <c r="S24" s="159"/>
      <c r="T24" s="159"/>
    </row>
    <row r="25" spans="1:20" x14ac:dyDescent="0.25">
      <c r="A25" s="159"/>
      <c r="B25" s="159"/>
      <c r="C25" s="159"/>
      <c r="D25" s="159"/>
      <c r="E25" s="159"/>
      <c r="F25" s="159"/>
      <c r="G25" s="159"/>
      <c r="H25" s="159"/>
      <c r="I25" s="159"/>
      <c r="J25" s="159"/>
      <c r="K25" s="159"/>
      <c r="L25" s="159"/>
      <c r="M25" s="159"/>
      <c r="N25" s="159"/>
      <c r="O25" s="159"/>
      <c r="P25" s="159"/>
      <c r="Q25" s="159"/>
      <c r="R25" s="159"/>
      <c r="S25" s="159"/>
      <c r="T25" s="159"/>
    </row>
    <row r="26" spans="1:20" x14ac:dyDescent="0.25">
      <c r="A26" s="159"/>
      <c r="B26" s="159"/>
      <c r="C26" s="159"/>
      <c r="D26" s="159"/>
      <c r="E26" s="159"/>
      <c r="F26" s="159"/>
      <c r="G26" s="159"/>
      <c r="H26" s="159"/>
      <c r="I26" s="159"/>
      <c r="J26" s="159"/>
      <c r="K26" s="159"/>
      <c r="L26" s="159"/>
      <c r="M26" s="159"/>
      <c r="N26" s="159"/>
      <c r="O26" s="159"/>
      <c r="P26" s="159"/>
      <c r="Q26" s="159"/>
      <c r="R26" s="159"/>
      <c r="S26" s="159"/>
      <c r="T26" s="159"/>
    </row>
    <row r="27" spans="1:20" x14ac:dyDescent="0.25">
      <c r="A27" s="159"/>
      <c r="B27" s="159"/>
      <c r="C27" s="159"/>
      <c r="D27" s="159"/>
      <c r="E27" s="159"/>
      <c r="F27" s="159"/>
      <c r="G27" s="159"/>
      <c r="H27" s="159"/>
      <c r="I27" s="159"/>
      <c r="J27" s="159"/>
      <c r="K27" s="159"/>
      <c r="L27" s="159"/>
      <c r="M27" s="159"/>
      <c r="N27" s="159"/>
      <c r="O27" s="159"/>
      <c r="P27" s="159"/>
      <c r="Q27" s="159"/>
      <c r="R27" s="159"/>
      <c r="S27" s="159"/>
      <c r="T27" s="159"/>
    </row>
    <row r="28" spans="1:20" x14ac:dyDescent="0.25">
      <c r="A28" s="159"/>
      <c r="B28" s="159"/>
      <c r="C28" s="159"/>
      <c r="D28" s="159"/>
      <c r="E28" s="159"/>
      <c r="F28" s="159"/>
      <c r="G28" s="159"/>
      <c r="H28" s="159"/>
      <c r="I28" s="159"/>
      <c r="J28" s="159"/>
      <c r="K28" s="159"/>
      <c r="L28" s="159"/>
      <c r="M28" s="159"/>
      <c r="N28" s="159"/>
      <c r="O28" s="159"/>
      <c r="P28" s="159"/>
      <c r="Q28" s="159"/>
      <c r="R28" s="159"/>
      <c r="S28" s="159"/>
      <c r="T28" s="159"/>
    </row>
    <row r="29" spans="1:20" x14ac:dyDescent="0.25">
      <c r="A29" s="159"/>
      <c r="B29" s="159"/>
      <c r="C29" s="159"/>
      <c r="D29" s="159"/>
      <c r="E29" s="159"/>
      <c r="F29" s="159"/>
      <c r="G29" s="159"/>
      <c r="H29" s="159"/>
      <c r="I29" s="159"/>
      <c r="J29" s="159"/>
      <c r="K29" s="159"/>
      <c r="L29" s="159"/>
      <c r="M29" s="159"/>
      <c r="N29" s="159"/>
      <c r="O29" s="159"/>
      <c r="P29" s="159"/>
      <c r="Q29" s="159"/>
      <c r="R29" s="159"/>
      <c r="S29" s="159"/>
      <c r="T29" s="159"/>
    </row>
    <row r="30" spans="1:20" x14ac:dyDescent="0.25">
      <c r="A30" s="159"/>
      <c r="B30" s="159"/>
      <c r="C30" s="159"/>
      <c r="D30" s="159"/>
      <c r="E30" s="159"/>
      <c r="F30" s="159"/>
      <c r="G30" s="159"/>
      <c r="H30" s="159"/>
      <c r="I30" s="159"/>
      <c r="J30" s="159"/>
      <c r="K30" s="159"/>
      <c r="L30" s="159"/>
      <c r="M30" s="159"/>
      <c r="N30" s="159"/>
      <c r="O30" s="159"/>
      <c r="P30" s="159"/>
      <c r="Q30" s="159"/>
      <c r="R30" s="159"/>
      <c r="S30" s="159"/>
      <c r="T30" s="159"/>
    </row>
    <row r="31" spans="1:20" x14ac:dyDescent="0.25">
      <c r="A31" s="159"/>
      <c r="B31" s="159"/>
      <c r="C31" s="159"/>
      <c r="D31" s="159"/>
      <c r="E31" s="159"/>
      <c r="F31" s="159"/>
      <c r="G31" s="159"/>
      <c r="H31" s="159"/>
      <c r="I31" s="159"/>
      <c r="J31" s="159"/>
      <c r="K31" s="159"/>
      <c r="L31" s="159"/>
      <c r="M31" s="159"/>
      <c r="N31" s="159"/>
      <c r="O31" s="159"/>
      <c r="P31" s="159"/>
      <c r="Q31" s="159"/>
      <c r="R31" s="159"/>
      <c r="S31" s="159"/>
      <c r="T31" s="159"/>
    </row>
    <row r="32" spans="1:20" x14ac:dyDescent="0.25">
      <c r="A32" s="159"/>
      <c r="B32" s="159"/>
      <c r="C32" s="159"/>
      <c r="D32" s="159"/>
      <c r="E32" s="159"/>
      <c r="F32" s="159"/>
      <c r="G32" s="159"/>
      <c r="H32" s="159"/>
      <c r="I32" s="159"/>
      <c r="J32" s="159"/>
      <c r="K32" s="159"/>
      <c r="L32" s="159"/>
      <c r="M32" s="159"/>
      <c r="N32" s="159"/>
      <c r="O32" s="159"/>
      <c r="P32" s="159"/>
      <c r="Q32" s="159"/>
      <c r="R32" s="159"/>
      <c r="S32" s="159"/>
      <c r="T32" s="159"/>
    </row>
    <row r="33" spans="1:20" x14ac:dyDescent="0.25">
      <c r="A33" s="159"/>
      <c r="B33" s="159"/>
      <c r="C33" s="159"/>
      <c r="D33" s="159"/>
      <c r="E33" s="159"/>
      <c r="F33" s="159"/>
      <c r="G33" s="159"/>
      <c r="H33" s="159"/>
      <c r="I33" s="159"/>
      <c r="J33" s="159"/>
      <c r="K33" s="159"/>
      <c r="L33" s="159"/>
      <c r="M33" s="159"/>
      <c r="N33" s="159"/>
      <c r="O33" s="159"/>
      <c r="P33" s="159"/>
      <c r="Q33" s="159"/>
      <c r="R33" s="159"/>
      <c r="S33" s="159"/>
      <c r="T33" s="159"/>
    </row>
    <row r="34" spans="1:20" x14ac:dyDescent="0.25">
      <c r="A34" s="159"/>
      <c r="B34" s="159"/>
      <c r="C34" s="159"/>
      <c r="D34" s="159"/>
      <c r="E34" s="159"/>
      <c r="F34" s="159"/>
      <c r="G34" s="159"/>
      <c r="H34" s="159"/>
      <c r="I34" s="159"/>
      <c r="J34" s="159"/>
      <c r="K34" s="159"/>
      <c r="L34" s="159"/>
      <c r="M34" s="159"/>
      <c r="N34" s="159"/>
      <c r="O34" s="159"/>
      <c r="P34" s="159"/>
      <c r="Q34" s="159"/>
      <c r="R34" s="159"/>
      <c r="S34" s="159"/>
      <c r="T34" s="159"/>
    </row>
    <row r="35" spans="1:20" x14ac:dyDescent="0.25">
      <c r="A35" s="159"/>
      <c r="B35" s="159"/>
      <c r="C35" s="159"/>
      <c r="D35" s="159"/>
      <c r="E35" s="159"/>
      <c r="F35" s="159"/>
      <c r="G35" s="159"/>
      <c r="H35" s="159"/>
      <c r="I35" s="159"/>
      <c r="J35" s="159"/>
      <c r="K35" s="159"/>
      <c r="L35" s="159"/>
      <c r="M35" s="159"/>
      <c r="N35" s="159"/>
      <c r="O35" s="159"/>
      <c r="P35" s="159"/>
      <c r="Q35" s="159"/>
      <c r="R35" s="159"/>
      <c r="S35" s="159"/>
      <c r="T35" s="159"/>
    </row>
    <row r="36" spans="1:20" x14ac:dyDescent="0.25">
      <c r="A36" s="159"/>
      <c r="B36" s="159"/>
      <c r="C36" s="159"/>
      <c r="D36" s="159"/>
      <c r="E36" s="159"/>
      <c r="F36" s="159"/>
      <c r="G36" s="159"/>
      <c r="H36" s="159"/>
      <c r="I36" s="159"/>
      <c r="J36" s="159"/>
      <c r="K36" s="159"/>
      <c r="L36" s="159"/>
      <c r="M36" s="159"/>
      <c r="N36" s="159"/>
      <c r="O36" s="159"/>
      <c r="P36" s="159"/>
      <c r="Q36" s="159"/>
      <c r="R36" s="159"/>
      <c r="S36" s="159"/>
      <c r="T36" s="159"/>
    </row>
    <row r="37" spans="1:20" x14ac:dyDescent="0.25">
      <c r="A37" s="159"/>
      <c r="B37" s="159"/>
      <c r="C37" s="159"/>
      <c r="D37" s="159"/>
      <c r="E37" s="159"/>
      <c r="F37" s="159"/>
      <c r="G37" s="159"/>
      <c r="H37" s="159"/>
      <c r="I37" s="159"/>
      <c r="J37" s="159"/>
      <c r="K37" s="159"/>
      <c r="L37" s="159"/>
      <c r="M37" s="159"/>
      <c r="N37" s="159"/>
      <c r="O37" s="159"/>
      <c r="P37" s="159"/>
      <c r="Q37" s="159"/>
      <c r="R37" s="159"/>
      <c r="S37" s="159"/>
      <c r="T37" s="159"/>
    </row>
    <row r="38" spans="1:20" x14ac:dyDescent="0.25">
      <c r="A38" s="159"/>
      <c r="B38" s="159"/>
      <c r="C38" s="159"/>
      <c r="D38" s="159"/>
      <c r="E38" s="159"/>
      <c r="F38" s="159"/>
      <c r="G38" s="159"/>
      <c r="H38" s="159"/>
      <c r="I38" s="159"/>
      <c r="J38" s="159"/>
      <c r="K38" s="159"/>
      <c r="L38" s="159"/>
      <c r="M38" s="159"/>
      <c r="N38" s="159"/>
      <c r="O38" s="159"/>
      <c r="P38" s="159"/>
      <c r="Q38" s="159"/>
      <c r="R38" s="159"/>
      <c r="S38" s="159"/>
      <c r="T38" s="159"/>
    </row>
    <row r="39" spans="1:20" x14ac:dyDescent="0.25">
      <c r="A39" s="159"/>
      <c r="B39" s="159"/>
      <c r="C39" s="159"/>
      <c r="D39" s="159"/>
      <c r="E39" s="159"/>
      <c r="F39" s="159"/>
      <c r="G39" s="159"/>
      <c r="H39" s="159"/>
      <c r="I39" s="159"/>
      <c r="J39" s="159"/>
      <c r="K39" s="159"/>
      <c r="L39" s="159"/>
      <c r="M39" s="159"/>
      <c r="N39" s="159"/>
      <c r="O39" s="159"/>
      <c r="P39" s="159"/>
      <c r="Q39" s="159"/>
      <c r="R39" s="159"/>
      <c r="S39" s="159"/>
      <c r="T39" s="159"/>
    </row>
    <row r="40" spans="1:20" x14ac:dyDescent="0.25">
      <c r="A40" s="159"/>
      <c r="B40" s="159"/>
      <c r="C40" s="159"/>
      <c r="D40" s="159"/>
      <c r="E40" s="159"/>
      <c r="F40" s="159"/>
      <c r="G40" s="159"/>
      <c r="H40" s="159"/>
      <c r="I40" s="159"/>
      <c r="J40" s="159"/>
      <c r="K40" s="159"/>
      <c r="L40" s="159"/>
      <c r="M40" s="159"/>
      <c r="N40" s="159"/>
      <c r="O40" s="159"/>
      <c r="P40" s="159"/>
      <c r="Q40" s="159"/>
      <c r="R40" s="159"/>
      <c r="S40" s="159"/>
      <c r="T40" s="159"/>
    </row>
    <row r="41" spans="1:20" x14ac:dyDescent="0.25">
      <c r="A41" s="159"/>
      <c r="B41" s="159"/>
      <c r="C41" s="159"/>
      <c r="D41" s="159"/>
      <c r="E41" s="159"/>
      <c r="F41" s="159"/>
      <c r="G41" s="159"/>
      <c r="H41" s="159"/>
      <c r="I41" s="159"/>
      <c r="J41" s="159"/>
      <c r="K41" s="159"/>
      <c r="L41" s="159"/>
      <c r="M41" s="159"/>
      <c r="N41" s="159"/>
      <c r="O41" s="159"/>
      <c r="P41" s="159"/>
      <c r="Q41" s="159"/>
      <c r="R41" s="159"/>
      <c r="S41" s="159"/>
      <c r="T41" s="159"/>
    </row>
    <row r="42" spans="1:20" x14ac:dyDescent="0.25">
      <c r="A42" s="159"/>
      <c r="B42" s="159"/>
      <c r="C42" s="159"/>
      <c r="D42" s="159"/>
      <c r="E42" s="159"/>
      <c r="F42" s="159"/>
      <c r="G42" s="159"/>
      <c r="H42" s="159"/>
      <c r="I42" s="159"/>
      <c r="J42" s="159"/>
      <c r="K42" s="159"/>
      <c r="L42" s="159"/>
      <c r="M42" s="159"/>
      <c r="N42" s="159"/>
      <c r="O42" s="159"/>
      <c r="P42" s="159"/>
      <c r="Q42" s="159"/>
      <c r="R42" s="159"/>
      <c r="S42" s="159"/>
      <c r="T42" s="159"/>
    </row>
    <row r="43" spans="1:20" x14ac:dyDescent="0.25">
      <c r="A43" s="159"/>
      <c r="B43" s="159"/>
      <c r="C43" s="159"/>
      <c r="D43" s="159"/>
      <c r="E43" s="159"/>
      <c r="F43" s="159"/>
      <c r="G43" s="159"/>
      <c r="H43" s="159"/>
      <c r="I43" s="159"/>
      <c r="J43" s="159"/>
      <c r="K43" s="159"/>
      <c r="L43" s="159"/>
      <c r="M43" s="159"/>
      <c r="N43" s="159"/>
      <c r="O43" s="159"/>
      <c r="P43" s="159"/>
      <c r="Q43" s="159"/>
      <c r="R43" s="159"/>
      <c r="S43" s="159"/>
      <c r="T43" s="159"/>
    </row>
    <row r="44" spans="1:20" x14ac:dyDescent="0.25">
      <c r="A44" s="159"/>
      <c r="B44" s="159"/>
      <c r="C44" s="159"/>
      <c r="D44" s="159"/>
      <c r="E44" s="159"/>
      <c r="F44" s="159"/>
      <c r="G44" s="159"/>
      <c r="H44" s="159"/>
      <c r="I44" s="159"/>
      <c r="J44" s="159"/>
      <c r="K44" s="159"/>
      <c r="L44" s="159"/>
      <c r="M44" s="159"/>
      <c r="N44" s="159"/>
      <c r="O44" s="159"/>
      <c r="P44" s="159"/>
      <c r="Q44" s="159"/>
      <c r="R44" s="159"/>
      <c r="S44" s="159"/>
      <c r="T44" s="159"/>
    </row>
    <row r="45" spans="1:20" x14ac:dyDescent="0.25">
      <c r="A45" s="159"/>
      <c r="B45" s="159"/>
      <c r="C45" s="159"/>
      <c r="D45" s="159"/>
      <c r="E45" s="159"/>
      <c r="F45" s="159"/>
      <c r="G45" s="159"/>
      <c r="H45" s="159"/>
      <c r="I45" s="159"/>
      <c r="J45" s="159"/>
      <c r="K45" s="159"/>
      <c r="L45" s="159"/>
      <c r="M45" s="159"/>
      <c r="N45" s="159"/>
      <c r="O45" s="159"/>
      <c r="P45" s="159"/>
      <c r="Q45" s="159"/>
      <c r="R45" s="159"/>
      <c r="S45" s="159"/>
      <c r="T45" s="159"/>
    </row>
    <row r="46" spans="1:20" x14ac:dyDescent="0.25">
      <c r="A46" s="159"/>
      <c r="B46" s="159"/>
      <c r="C46" s="159"/>
      <c r="D46" s="159"/>
      <c r="E46" s="159"/>
      <c r="F46" s="159"/>
      <c r="G46" s="159"/>
      <c r="H46" s="159"/>
      <c r="I46" s="159"/>
      <c r="J46" s="159"/>
      <c r="K46" s="159"/>
      <c r="L46" s="159"/>
      <c r="M46" s="159"/>
      <c r="N46" s="159"/>
      <c r="O46" s="159"/>
      <c r="P46" s="159"/>
      <c r="Q46" s="159"/>
      <c r="R46" s="159"/>
      <c r="S46" s="159"/>
      <c r="T46" s="159"/>
    </row>
    <row r="47" spans="1:20" x14ac:dyDescent="0.25">
      <c r="A47" s="159"/>
      <c r="B47" s="159"/>
      <c r="C47" s="159"/>
      <c r="D47" s="159"/>
      <c r="E47" s="159"/>
      <c r="F47" s="159"/>
      <c r="G47" s="159"/>
      <c r="H47" s="159"/>
      <c r="I47" s="159"/>
      <c r="J47" s="159"/>
      <c r="K47" s="159"/>
      <c r="L47" s="159"/>
      <c r="M47" s="159"/>
      <c r="N47" s="159"/>
      <c r="O47" s="159"/>
      <c r="P47" s="159"/>
      <c r="Q47" s="159"/>
      <c r="R47" s="159"/>
      <c r="S47" s="159"/>
      <c r="T47" s="159"/>
    </row>
    <row r="48" spans="1:20" x14ac:dyDescent="0.25">
      <c r="A48" s="159"/>
      <c r="B48" s="159"/>
      <c r="C48" s="159"/>
      <c r="D48" s="159"/>
      <c r="E48" s="159"/>
      <c r="F48" s="159"/>
      <c r="G48" s="159"/>
      <c r="H48" s="159"/>
      <c r="I48" s="159"/>
      <c r="J48" s="159"/>
      <c r="K48" s="159"/>
      <c r="L48" s="159"/>
      <c r="M48" s="159"/>
      <c r="N48" s="159"/>
      <c r="O48" s="159"/>
      <c r="P48" s="159"/>
      <c r="Q48" s="159"/>
      <c r="R48" s="159"/>
      <c r="S48" s="159"/>
      <c r="T48" s="159"/>
    </row>
    <row r="49" spans="1:20" x14ac:dyDescent="0.25">
      <c r="A49" s="159"/>
      <c r="B49" s="159"/>
      <c r="C49" s="159"/>
      <c r="D49" s="159"/>
      <c r="E49" s="159"/>
      <c r="F49" s="159"/>
      <c r="G49" s="159"/>
      <c r="H49" s="159"/>
      <c r="I49" s="159"/>
      <c r="J49" s="159"/>
      <c r="K49" s="159"/>
      <c r="L49" s="159"/>
      <c r="M49" s="159"/>
      <c r="N49" s="159"/>
      <c r="O49" s="159"/>
      <c r="P49" s="159"/>
      <c r="Q49" s="159"/>
      <c r="R49" s="159"/>
      <c r="S49" s="159"/>
      <c r="T49" s="159"/>
    </row>
    <row r="50" spans="1:20" x14ac:dyDescent="0.25">
      <c r="A50" s="159"/>
      <c r="B50" s="159"/>
      <c r="C50" s="159"/>
      <c r="D50" s="159"/>
      <c r="E50" s="159"/>
      <c r="F50" s="159"/>
      <c r="G50" s="159"/>
      <c r="H50" s="159"/>
      <c r="I50" s="159"/>
      <c r="J50" s="159"/>
      <c r="K50" s="159"/>
      <c r="L50" s="159"/>
      <c r="M50" s="159"/>
      <c r="N50" s="159"/>
      <c r="O50" s="159"/>
      <c r="P50" s="159"/>
      <c r="Q50" s="159"/>
      <c r="R50" s="159"/>
      <c r="S50" s="159"/>
      <c r="T50" s="159"/>
    </row>
    <row r="51" spans="1:20" x14ac:dyDescent="0.25">
      <c r="A51" s="159"/>
      <c r="B51" s="159"/>
      <c r="C51" s="159"/>
      <c r="D51" s="159"/>
      <c r="E51" s="159"/>
      <c r="F51" s="159"/>
      <c r="G51" s="159"/>
      <c r="H51" s="159"/>
      <c r="I51" s="159"/>
      <c r="J51" s="159"/>
      <c r="K51" s="159"/>
      <c r="L51" s="159"/>
      <c r="M51" s="159"/>
      <c r="N51" s="159"/>
      <c r="O51" s="159"/>
      <c r="P51" s="159"/>
      <c r="Q51" s="159"/>
      <c r="R51" s="159"/>
      <c r="S51" s="159"/>
      <c r="T51" s="159"/>
    </row>
    <row r="52" spans="1:20" x14ac:dyDescent="0.25">
      <c r="A52" s="159"/>
      <c r="B52" s="159"/>
      <c r="C52" s="159"/>
      <c r="D52" s="159"/>
      <c r="E52" s="159"/>
      <c r="F52" s="159"/>
      <c r="G52" s="159"/>
      <c r="H52" s="159"/>
      <c r="I52" s="159"/>
      <c r="J52" s="159"/>
      <c r="K52" s="159"/>
      <c r="L52" s="159"/>
      <c r="M52" s="159"/>
      <c r="N52" s="159"/>
      <c r="O52" s="159"/>
      <c r="P52" s="159"/>
      <c r="Q52" s="159"/>
      <c r="R52" s="159"/>
      <c r="S52" s="159"/>
      <c r="T52" s="159"/>
    </row>
    <row r="53" spans="1:20" x14ac:dyDescent="0.25">
      <c r="A53" s="159"/>
      <c r="B53" s="159"/>
      <c r="C53" s="159"/>
      <c r="D53" s="159"/>
      <c r="E53" s="159"/>
      <c r="F53" s="159"/>
      <c r="G53" s="159"/>
      <c r="H53" s="159"/>
      <c r="I53" s="159"/>
      <c r="J53" s="159"/>
      <c r="K53" s="159"/>
      <c r="L53" s="159"/>
      <c r="M53" s="159"/>
      <c r="N53" s="159"/>
      <c r="O53" s="159"/>
      <c r="P53" s="159"/>
      <c r="Q53" s="159"/>
      <c r="R53" s="159"/>
      <c r="S53" s="159"/>
      <c r="T53" s="159"/>
    </row>
    <row r="54" spans="1:20" x14ac:dyDescent="0.25">
      <c r="A54" s="159"/>
      <c r="B54" s="159"/>
      <c r="C54" s="159"/>
      <c r="D54" s="159"/>
      <c r="E54" s="159"/>
      <c r="F54" s="159"/>
      <c r="G54" s="159"/>
      <c r="H54" s="159"/>
      <c r="I54" s="159"/>
      <c r="J54" s="159"/>
      <c r="K54" s="159"/>
      <c r="L54" s="159"/>
      <c r="M54" s="159"/>
      <c r="N54" s="159"/>
      <c r="O54" s="159"/>
      <c r="P54" s="159"/>
      <c r="Q54" s="159"/>
      <c r="R54" s="159"/>
      <c r="S54" s="159"/>
      <c r="T54" s="159"/>
    </row>
    <row r="55" spans="1:20" x14ac:dyDescent="0.25">
      <c r="A55" s="159"/>
      <c r="B55" s="159"/>
      <c r="C55" s="159"/>
      <c r="D55" s="159"/>
      <c r="E55" s="159"/>
      <c r="F55" s="159"/>
      <c r="G55" s="159"/>
      <c r="H55" s="159"/>
      <c r="I55" s="159"/>
      <c r="J55" s="159"/>
      <c r="K55" s="159"/>
      <c r="L55" s="159"/>
      <c r="M55" s="159"/>
      <c r="N55" s="159"/>
      <c r="O55" s="159"/>
      <c r="P55" s="159"/>
      <c r="Q55" s="159"/>
      <c r="R55" s="159"/>
      <c r="S55" s="159"/>
      <c r="T55" s="159"/>
    </row>
    <row r="56" spans="1:20" x14ac:dyDescent="0.25">
      <c r="A56" s="159"/>
      <c r="B56" s="159"/>
      <c r="C56" s="159"/>
      <c r="D56" s="159"/>
      <c r="E56" s="159"/>
      <c r="F56" s="159"/>
      <c r="G56" s="159"/>
      <c r="H56" s="159"/>
      <c r="I56" s="159"/>
      <c r="J56" s="159"/>
      <c r="K56" s="159"/>
      <c r="L56" s="159"/>
      <c r="M56" s="159"/>
      <c r="N56" s="159"/>
      <c r="O56" s="159"/>
      <c r="P56" s="159"/>
      <c r="Q56" s="159"/>
      <c r="R56" s="159"/>
      <c r="S56" s="159"/>
      <c r="T56" s="159"/>
    </row>
  </sheetData>
  <sheetProtection password="8CF0" sheet="1" objects="1" scenarios="1" selectLockedCells="1"/>
  <mergeCells count="5">
    <mergeCell ref="B14:D14"/>
    <mergeCell ref="A7:D7"/>
    <mergeCell ref="A12:D12"/>
    <mergeCell ref="A1:D2"/>
    <mergeCell ref="A3:D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6">
    <tabColor rgb="FFFFFF00"/>
    <pageSetUpPr autoPageBreaks="0"/>
  </sheetPr>
  <dimension ref="A1:BZ248"/>
  <sheetViews>
    <sheetView zoomScale="85" zoomScaleNormal="85" workbookViewId="0">
      <pane ySplit="4" topLeftCell="A5" activePane="bottomLeft" state="frozen"/>
      <selection pane="bottomLeft" activeCell="C7" sqref="C7:D7"/>
    </sheetView>
  </sheetViews>
  <sheetFormatPr defaultRowHeight="15" x14ac:dyDescent="0.2"/>
  <cols>
    <col min="1" max="1" width="6.85546875" style="17" customWidth="1"/>
    <col min="2" max="2" width="47.42578125" style="20" customWidth="1"/>
    <col min="3" max="3" width="28.28515625" style="19" customWidth="1"/>
    <col min="4" max="4" width="49.5703125" style="19" customWidth="1"/>
    <col min="5" max="5" width="13.140625" style="17" customWidth="1"/>
    <col min="6" max="6" width="14.42578125" style="17" bestFit="1" customWidth="1"/>
    <col min="7" max="9" width="12.7109375" style="17" customWidth="1"/>
    <col min="10" max="10" width="12.7109375" style="72" customWidth="1"/>
    <col min="11" max="12" width="9.140625" style="17" hidden="1" customWidth="1"/>
    <col min="13" max="13" width="26.5703125" style="17" hidden="1" customWidth="1"/>
    <col min="14" max="14" width="12" style="17" hidden="1" customWidth="1"/>
    <col min="15" max="15" width="16" style="17" hidden="1" customWidth="1"/>
    <col min="16" max="16" width="11.42578125" style="17" hidden="1" customWidth="1"/>
    <col min="17" max="17" width="11" style="17" hidden="1" customWidth="1"/>
    <col min="18" max="18" width="10.140625" style="17" hidden="1" customWidth="1"/>
    <col min="19" max="19" width="10.140625" style="176" hidden="1" customWidth="1"/>
    <col min="20" max="20" width="16.42578125" style="17" hidden="1" customWidth="1"/>
    <col min="21" max="21" width="16.42578125" style="176" hidden="1" customWidth="1"/>
    <col min="22" max="31" width="9.140625" style="17" hidden="1" customWidth="1"/>
    <col min="32" max="35" width="0" style="17" hidden="1" customWidth="1"/>
    <col min="36" max="16384" width="9.140625" style="17"/>
  </cols>
  <sheetData>
    <row r="1" spans="1:78" s="72" customFormat="1" ht="15" customHeight="1" x14ac:dyDescent="0.2">
      <c r="A1" s="569" t="s">
        <v>154</v>
      </c>
      <c r="B1" s="570"/>
      <c r="C1" s="570"/>
      <c r="D1" s="570"/>
      <c r="E1" s="570"/>
      <c r="F1" s="570"/>
      <c r="G1" s="570"/>
      <c r="H1" s="570"/>
      <c r="I1" s="570"/>
      <c r="J1" s="571"/>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row>
    <row r="2" spans="1:78" s="72" customFormat="1" ht="15" customHeight="1" x14ac:dyDescent="0.2">
      <c r="A2" s="572"/>
      <c r="B2" s="487"/>
      <c r="C2" s="487"/>
      <c r="D2" s="487"/>
      <c r="E2" s="487"/>
      <c r="F2" s="487"/>
      <c r="G2" s="487"/>
      <c r="H2" s="487"/>
      <c r="I2" s="487"/>
      <c r="J2" s="573"/>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row>
    <row r="3" spans="1:78" ht="15" customHeight="1" x14ac:dyDescent="0.2">
      <c r="A3" s="578" t="s">
        <v>232</v>
      </c>
      <c r="B3" s="579"/>
      <c r="C3" s="579"/>
      <c r="D3" s="579"/>
      <c r="E3" s="579"/>
      <c r="F3" s="579"/>
      <c r="G3" s="579"/>
      <c r="H3" s="579"/>
      <c r="I3" s="579"/>
      <c r="J3" s="580"/>
      <c r="N3" s="87">
        <f>C9</f>
        <v>250000</v>
      </c>
      <c r="O3" s="87">
        <f>C10</f>
        <v>7500</v>
      </c>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row>
    <row r="4" spans="1:78" ht="15" customHeight="1" x14ac:dyDescent="0.2">
      <c r="A4" s="581"/>
      <c r="B4" s="582"/>
      <c r="C4" s="582"/>
      <c r="D4" s="582"/>
      <c r="E4" s="582"/>
      <c r="F4" s="582"/>
      <c r="G4" s="582"/>
      <c r="H4" s="582"/>
      <c r="I4" s="582"/>
      <c r="J4" s="583"/>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row>
    <row r="5" spans="1:78" s="176" customFormat="1" ht="15" customHeight="1" x14ac:dyDescent="0.2">
      <c r="A5" s="23"/>
      <c r="B5" s="24"/>
      <c r="C5" s="38"/>
      <c r="D5" s="38"/>
      <c r="E5" s="146"/>
      <c r="F5" s="146"/>
      <c r="G5" s="146"/>
      <c r="H5" s="146"/>
      <c r="I5" s="146"/>
      <c r="J5" s="40"/>
      <c r="P5" s="146"/>
      <c r="Q5" s="146"/>
      <c r="R5" s="146"/>
      <c r="S5" s="146"/>
      <c r="T5" s="146"/>
      <c r="U5" s="146"/>
      <c r="V5" s="146"/>
      <c r="W5" s="146"/>
      <c r="X5" s="146"/>
      <c r="Y5" s="146"/>
      <c r="Z5" s="146"/>
      <c r="AA5" s="146"/>
      <c r="AB5" s="146"/>
      <c r="AC5" s="146"/>
      <c r="AD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row>
    <row r="6" spans="1:78" ht="36.950000000000003" customHeight="1" x14ac:dyDescent="0.2">
      <c r="A6" s="414" t="s">
        <v>352</v>
      </c>
      <c r="B6" s="415"/>
      <c r="C6" s="415"/>
      <c r="D6" s="577"/>
      <c r="E6" s="146"/>
      <c r="F6" s="146"/>
      <c r="G6" s="146"/>
      <c r="H6" s="146"/>
      <c r="I6" s="146"/>
      <c r="J6" s="40"/>
      <c r="M6" s="17" t="str">
        <f>IF(C8&lt;2011,"BART_List_Pre2011","BART_List_Post2011")</f>
        <v>BART_List_Post2011</v>
      </c>
      <c r="N6" s="65" t="s">
        <v>120</v>
      </c>
      <c r="O6" s="65" t="s">
        <v>121</v>
      </c>
      <c r="P6" s="146"/>
      <c r="Q6" s="146"/>
      <c r="R6" s="146"/>
      <c r="S6" s="146"/>
      <c r="T6" s="146"/>
      <c r="U6" s="146"/>
      <c r="V6" s="146"/>
      <c r="W6" s="146"/>
      <c r="X6" s="146"/>
      <c r="Y6" s="146"/>
      <c r="Z6" s="146"/>
      <c r="AA6" s="146"/>
      <c r="AB6" s="146"/>
      <c r="AC6" s="146"/>
      <c r="AD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row>
    <row r="7" spans="1:78" ht="36.950000000000003" customHeight="1" x14ac:dyDescent="0.2">
      <c r="A7" s="262">
        <v>1</v>
      </c>
      <c r="B7" s="263" t="s">
        <v>51</v>
      </c>
      <c r="C7" s="584" t="s">
        <v>445</v>
      </c>
      <c r="D7" s="585"/>
      <c r="E7" s="30"/>
      <c r="F7" s="31"/>
      <c r="G7" s="146"/>
      <c r="H7" s="146"/>
      <c r="I7" s="146"/>
      <c r="J7" s="40"/>
      <c r="K7" s="18"/>
      <c r="L7" s="18"/>
      <c r="M7" s="18"/>
      <c r="N7" s="45" t="s">
        <v>72</v>
      </c>
      <c r="O7" s="86" t="s">
        <v>72</v>
      </c>
      <c r="P7" s="146"/>
      <c r="Q7" s="146"/>
      <c r="R7" s="146"/>
      <c r="S7" s="146"/>
      <c r="T7" s="146"/>
      <c r="U7" s="146"/>
      <c r="V7" s="146"/>
      <c r="W7" s="146"/>
      <c r="X7" s="146"/>
      <c r="Y7" s="146"/>
      <c r="Z7" s="146"/>
      <c r="AA7" s="146"/>
      <c r="AB7" s="146"/>
      <c r="AC7" s="146"/>
      <c r="AD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row>
    <row r="8" spans="1:78" ht="44.25" customHeight="1" x14ac:dyDescent="0.2">
      <c r="A8" s="262">
        <v>2</v>
      </c>
      <c r="B8" s="135" t="s">
        <v>50</v>
      </c>
      <c r="C8" s="152">
        <v>2012</v>
      </c>
      <c r="D8" s="22"/>
      <c r="E8" s="146"/>
      <c r="F8" s="146"/>
      <c r="G8" s="146"/>
      <c r="H8" s="146"/>
      <c r="I8" s="146"/>
      <c r="J8" s="40"/>
      <c r="K8" s="66"/>
      <c r="L8" s="18"/>
      <c r="M8" s="18"/>
      <c r="N8" s="45"/>
      <c r="O8" s="86" t="s">
        <v>73</v>
      </c>
      <c r="P8" s="146"/>
      <c r="Q8" s="146"/>
      <c r="R8" s="146"/>
      <c r="S8" s="146"/>
      <c r="T8" s="146"/>
      <c r="U8" s="146"/>
      <c r="V8" s="146"/>
      <c r="W8" s="146"/>
      <c r="X8" s="146"/>
      <c r="Y8" s="146"/>
      <c r="Z8" s="146"/>
      <c r="AA8" s="146"/>
      <c r="AB8" s="146"/>
      <c r="AC8" s="146"/>
      <c r="AD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row>
    <row r="9" spans="1:78" ht="24.95" customHeight="1" x14ac:dyDescent="0.2">
      <c r="A9" s="586">
        <v>3</v>
      </c>
      <c r="B9" s="588" t="s">
        <v>52</v>
      </c>
      <c r="C9" s="300">
        <v>250000</v>
      </c>
      <c r="D9" s="587"/>
      <c r="E9" s="146"/>
      <c r="F9" s="146"/>
      <c r="G9" s="146"/>
      <c r="H9" s="146"/>
      <c r="I9" s="146"/>
      <c r="J9" s="40"/>
      <c r="K9" s="18"/>
      <c r="L9" s="18"/>
      <c r="M9" s="18"/>
      <c r="N9" s="45"/>
      <c r="O9" s="86" t="s">
        <v>74</v>
      </c>
      <c r="P9" s="146"/>
      <c r="Q9" s="146"/>
      <c r="R9" s="146"/>
      <c r="S9" s="146"/>
      <c r="T9" s="146"/>
      <c r="U9" s="146"/>
      <c r="V9" s="146"/>
      <c r="W9" s="146"/>
      <c r="X9" s="146"/>
      <c r="Y9" s="146"/>
      <c r="Z9" s="146"/>
      <c r="AA9" s="146"/>
      <c r="AB9" s="146"/>
      <c r="AC9" s="146"/>
      <c r="AD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row>
    <row r="10" spans="1:78" ht="24.95" customHeight="1" x14ac:dyDescent="0.2">
      <c r="A10" s="586"/>
      <c r="B10" s="589"/>
      <c r="C10" s="300">
        <v>7500</v>
      </c>
      <c r="D10" s="587"/>
      <c r="E10" s="146"/>
      <c r="F10" s="146"/>
      <c r="G10" s="146"/>
      <c r="H10" s="146"/>
      <c r="I10" s="146"/>
      <c r="J10" s="40"/>
      <c r="K10" s="18"/>
      <c r="L10" s="18"/>
      <c r="M10" s="18"/>
      <c r="N10" s="45"/>
      <c r="O10" s="86" t="s">
        <v>75</v>
      </c>
      <c r="P10" s="146"/>
      <c r="Q10" s="146"/>
      <c r="R10" s="146"/>
      <c r="S10" s="146"/>
      <c r="T10" s="146"/>
      <c r="U10" s="146"/>
      <c r="V10" s="146"/>
      <c r="W10" s="146"/>
      <c r="X10" s="146"/>
      <c r="Y10" s="146"/>
      <c r="Z10" s="146"/>
      <c r="AA10" s="146"/>
      <c r="AB10" s="146"/>
      <c r="AC10" s="146"/>
      <c r="AD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row>
    <row r="11" spans="1:78" ht="82.5" customHeight="1" x14ac:dyDescent="0.2">
      <c r="A11" s="262">
        <v>4</v>
      </c>
      <c r="B11" s="135" t="s">
        <v>53</v>
      </c>
      <c r="C11" s="301"/>
      <c r="D11" s="38"/>
      <c r="E11" s="146"/>
      <c r="F11" s="146"/>
      <c r="G11" s="146"/>
      <c r="H11" s="146"/>
      <c r="I11" s="146"/>
      <c r="J11" s="40"/>
      <c r="K11" s="18"/>
      <c r="L11" s="18"/>
      <c r="M11" s="18"/>
      <c r="N11" s="45"/>
      <c r="O11" s="86" t="s">
        <v>10</v>
      </c>
      <c r="P11" s="146"/>
      <c r="Q11" s="146"/>
      <c r="R11" s="146"/>
      <c r="S11" s="146"/>
      <c r="T11" s="146"/>
      <c r="U11" s="146"/>
      <c r="V11" s="146"/>
      <c r="W11" s="146"/>
      <c r="X11" s="146"/>
      <c r="Y11" s="146"/>
      <c r="Z11" s="146"/>
      <c r="AA11" s="146"/>
      <c r="AB11" s="146"/>
      <c r="AC11" s="146"/>
      <c r="AD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row>
    <row r="12" spans="1:78" ht="82.5" customHeight="1" x14ac:dyDescent="0.2">
      <c r="A12" s="262" t="s">
        <v>56</v>
      </c>
      <c r="B12" s="135" t="s">
        <v>58</v>
      </c>
      <c r="C12" s="302" t="s">
        <v>91</v>
      </c>
      <c r="D12" s="38"/>
      <c r="E12" s="146"/>
      <c r="F12" s="146"/>
      <c r="G12" s="146"/>
      <c r="H12" s="146"/>
      <c r="I12" s="146"/>
      <c r="J12" s="40"/>
      <c r="K12" s="66"/>
      <c r="L12" s="18"/>
      <c r="M12" s="67"/>
      <c r="N12" s="45"/>
      <c r="O12" s="86" t="s">
        <v>76</v>
      </c>
      <c r="P12" s="146"/>
      <c r="Q12" s="146"/>
      <c r="R12" s="146"/>
      <c r="S12" s="146"/>
      <c r="T12" s="146"/>
      <c r="U12" s="146"/>
      <c r="V12" s="146"/>
      <c r="W12" s="146"/>
      <c r="X12" s="146"/>
      <c r="Y12" s="146"/>
      <c r="Z12" s="146"/>
      <c r="AA12" s="146"/>
      <c r="AB12" s="146"/>
      <c r="AC12" s="146"/>
      <c r="AD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row>
    <row r="13" spans="1:78" ht="82.5" hidden="1" customHeight="1" x14ac:dyDescent="0.2">
      <c r="A13" s="262" t="s">
        <v>57</v>
      </c>
      <c r="B13" s="14" t="s">
        <v>59</v>
      </c>
      <c r="C13" s="303" t="str">
        <f>C124</f>
        <v>Fill in step 5A</v>
      </c>
      <c r="D13" s="38"/>
      <c r="E13" s="146"/>
      <c r="F13" s="146"/>
      <c r="G13" s="146"/>
      <c r="H13" s="146"/>
      <c r="I13" s="146"/>
      <c r="J13" s="40"/>
      <c r="K13" s="18"/>
      <c r="L13" s="18"/>
      <c r="M13" s="18"/>
      <c r="N13" s="45"/>
      <c r="O13" s="86" t="s">
        <v>77</v>
      </c>
      <c r="P13" s="146"/>
      <c r="Q13" s="146"/>
      <c r="R13" s="146"/>
      <c r="S13" s="146"/>
      <c r="T13" s="146"/>
      <c r="U13" s="146"/>
      <c r="V13" s="146"/>
      <c r="W13" s="146"/>
      <c r="X13" s="146"/>
      <c r="Y13" s="146"/>
      <c r="Z13" s="146"/>
      <c r="AA13" s="146"/>
      <c r="AB13" s="146"/>
      <c r="AC13" s="146"/>
      <c r="AD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row>
    <row r="14" spans="1:78" ht="36.950000000000003" hidden="1" customHeight="1" x14ac:dyDescent="0.2">
      <c r="A14" s="576" t="s">
        <v>57</v>
      </c>
      <c r="B14" s="24"/>
      <c r="C14" s="38"/>
      <c r="D14" s="34"/>
      <c r="E14" s="146"/>
      <c r="F14" s="146"/>
      <c r="G14" s="146"/>
      <c r="H14" s="146"/>
      <c r="I14" s="146"/>
      <c r="J14" s="40"/>
      <c r="K14" s="18"/>
      <c r="L14" s="18"/>
      <c r="M14" s="18"/>
      <c r="N14" s="45"/>
      <c r="O14" s="86" t="s">
        <v>78</v>
      </c>
      <c r="P14" s="146"/>
      <c r="Q14" s="146"/>
      <c r="R14" s="146"/>
      <c r="S14" s="146"/>
      <c r="T14" s="146"/>
      <c r="U14" s="146"/>
      <c r="V14" s="146"/>
      <c r="W14" s="146"/>
      <c r="X14" s="146"/>
      <c r="Y14" s="146"/>
      <c r="Z14" s="146"/>
      <c r="AA14" s="146"/>
      <c r="AB14" s="146"/>
      <c r="AC14" s="146"/>
      <c r="AD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row>
    <row r="15" spans="1:78" ht="36.950000000000003" hidden="1" customHeight="1" x14ac:dyDescent="0.2">
      <c r="A15" s="576"/>
      <c r="B15" s="24"/>
      <c r="C15" s="38"/>
      <c r="D15" s="34"/>
      <c r="E15" s="146"/>
      <c r="F15" s="146"/>
      <c r="G15" s="146"/>
      <c r="H15" s="146"/>
      <c r="I15" s="146"/>
      <c r="J15" s="40"/>
      <c r="K15" s="18"/>
      <c r="L15" s="18"/>
      <c r="M15" s="18"/>
      <c r="N15" s="45"/>
      <c r="O15" s="86" t="s">
        <v>48</v>
      </c>
      <c r="P15" s="146"/>
      <c r="Q15" s="146"/>
      <c r="R15" s="146"/>
      <c r="S15" s="146"/>
      <c r="T15" s="146"/>
      <c r="U15" s="146"/>
      <c r="V15" s="146"/>
      <c r="W15" s="146"/>
      <c r="X15" s="146"/>
      <c r="Y15" s="146"/>
      <c r="Z15" s="146"/>
      <c r="AA15" s="146"/>
      <c r="AB15" s="146"/>
      <c r="AC15" s="146"/>
      <c r="AD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row>
    <row r="16" spans="1:78" ht="36.950000000000003" hidden="1" customHeight="1" x14ac:dyDescent="0.2">
      <c r="A16" s="576"/>
      <c r="B16" s="24"/>
      <c r="C16" s="38"/>
      <c r="D16" s="34"/>
      <c r="E16" s="146"/>
      <c r="F16" s="146"/>
      <c r="G16" s="146"/>
      <c r="H16" s="146"/>
      <c r="I16" s="146"/>
      <c r="J16" s="40"/>
      <c r="K16" s="18"/>
      <c r="L16" s="18"/>
      <c r="M16" s="18"/>
      <c r="N16" s="45"/>
      <c r="O16" s="86" t="s">
        <v>79</v>
      </c>
      <c r="P16" s="146"/>
      <c r="Q16" s="146"/>
      <c r="R16" s="146"/>
      <c r="S16" s="146"/>
      <c r="T16" s="146"/>
      <c r="U16" s="146"/>
      <c r="V16" s="146"/>
      <c r="W16" s="146"/>
      <c r="X16" s="146"/>
      <c r="Y16" s="146"/>
      <c r="Z16" s="146"/>
      <c r="AA16" s="146"/>
      <c r="AB16" s="146"/>
      <c r="AC16" s="146"/>
      <c r="AD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row>
    <row r="17" spans="1:78" ht="51.75" hidden="1" customHeight="1" x14ac:dyDescent="0.2">
      <c r="A17" s="576"/>
      <c r="B17" s="24"/>
      <c r="C17" s="38"/>
      <c r="D17" s="34"/>
      <c r="E17" s="146"/>
      <c r="F17" s="146"/>
      <c r="G17" s="146"/>
      <c r="H17" s="146"/>
      <c r="I17" s="146"/>
      <c r="J17" s="40"/>
      <c r="K17" s="18"/>
      <c r="L17" s="18"/>
      <c r="M17" s="18"/>
      <c r="N17" s="45"/>
      <c r="O17" s="86" t="s">
        <v>49</v>
      </c>
      <c r="P17" s="146"/>
      <c r="Q17" s="146"/>
      <c r="R17" s="146"/>
      <c r="S17" s="146"/>
      <c r="T17" s="146"/>
      <c r="U17" s="146"/>
      <c r="V17" s="146"/>
      <c r="W17" s="146"/>
      <c r="X17" s="146"/>
      <c r="Y17" s="146"/>
      <c r="Z17" s="146"/>
      <c r="AA17" s="146"/>
      <c r="AB17" s="146"/>
      <c r="AC17" s="146"/>
      <c r="AD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row>
    <row r="18" spans="1:78" ht="51.75" hidden="1" customHeight="1" x14ac:dyDescent="0.2">
      <c r="A18" s="576"/>
      <c r="B18" s="102"/>
      <c r="C18" s="103"/>
      <c r="D18" s="34"/>
      <c r="E18" s="146"/>
      <c r="F18" s="146"/>
      <c r="G18" s="146"/>
      <c r="H18" s="146"/>
      <c r="I18" s="146"/>
      <c r="J18" s="40"/>
      <c r="K18" s="18"/>
      <c r="L18" s="18"/>
      <c r="M18" s="18"/>
      <c r="N18" s="45"/>
      <c r="O18" s="86" t="s">
        <v>80</v>
      </c>
      <c r="P18" s="146"/>
      <c r="Q18" s="146"/>
      <c r="R18" s="146"/>
      <c r="S18" s="146"/>
      <c r="T18" s="146"/>
      <c r="U18" s="146"/>
      <c r="V18" s="146"/>
      <c r="W18" s="146"/>
      <c r="X18" s="146"/>
      <c r="Y18" s="146"/>
      <c r="Z18" s="146"/>
      <c r="AA18" s="146"/>
      <c r="AB18" s="146"/>
      <c r="AC18" s="146"/>
      <c r="AD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row>
    <row r="19" spans="1:78" s="176" customFormat="1" ht="51.75" customHeight="1" x14ac:dyDescent="0.2">
      <c r="A19" s="261"/>
      <c r="B19" s="24"/>
      <c r="C19" s="38"/>
      <c r="D19" s="38"/>
      <c r="E19" s="146"/>
      <c r="F19" s="146"/>
      <c r="G19" s="146"/>
      <c r="H19" s="146"/>
      <c r="I19" s="146"/>
      <c r="J19" s="40"/>
      <c r="K19" s="73"/>
      <c r="L19" s="73"/>
      <c r="M19" s="73"/>
      <c r="N19" s="178"/>
      <c r="O19" s="86" t="s">
        <v>81</v>
      </c>
      <c r="P19" s="146"/>
      <c r="Q19" s="146"/>
      <c r="R19" s="146"/>
      <c r="S19" s="146"/>
      <c r="T19" s="146"/>
      <c r="U19" s="146"/>
      <c r="V19" s="146"/>
      <c r="W19" s="146"/>
      <c r="X19" s="146"/>
      <c r="Y19" s="146"/>
      <c r="Z19" s="146"/>
      <c r="AA19" s="146"/>
      <c r="AB19" s="146"/>
      <c r="AC19" s="146"/>
      <c r="AD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row>
    <row r="20" spans="1:78" s="72" customFormat="1" ht="39.950000000000003" customHeight="1" x14ac:dyDescent="0.2">
      <c r="A20" s="576">
        <v>6</v>
      </c>
      <c r="B20" s="42"/>
      <c r="C20" s="38"/>
      <c r="D20" s="38"/>
      <c r="E20" s="146"/>
      <c r="F20" s="146"/>
      <c r="G20" s="146"/>
      <c r="H20" s="146"/>
      <c r="I20" s="146"/>
      <c r="J20" s="40"/>
      <c r="K20" s="73"/>
      <c r="L20" s="73"/>
      <c r="M20" s="73"/>
      <c r="N20" s="86"/>
      <c r="O20" s="86" t="s">
        <v>82</v>
      </c>
      <c r="P20" s="146"/>
      <c r="Q20" s="146"/>
      <c r="R20" s="146"/>
      <c r="S20" s="146"/>
      <c r="T20" s="146"/>
      <c r="U20" s="146"/>
      <c r="V20" s="146"/>
      <c r="W20" s="146"/>
      <c r="X20" s="146"/>
      <c r="Y20" s="146"/>
      <c r="Z20" s="146"/>
      <c r="AA20" s="146"/>
      <c r="AB20" s="146"/>
      <c r="AC20" s="146"/>
      <c r="AD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row>
    <row r="21" spans="1:78" s="72" customFormat="1" ht="51.75" customHeight="1" x14ac:dyDescent="0.2">
      <c r="A21" s="576"/>
      <c r="B21" s="42"/>
      <c r="C21" s="61" t="s">
        <v>124</v>
      </c>
      <c r="D21" s="61" t="s">
        <v>123</v>
      </c>
      <c r="E21" s="146"/>
      <c r="F21" s="146"/>
      <c r="G21" s="146"/>
      <c r="H21" s="146"/>
      <c r="I21" s="146"/>
      <c r="J21" s="40"/>
      <c r="K21" s="73"/>
      <c r="L21" s="73"/>
      <c r="M21" s="73"/>
      <c r="N21" s="86"/>
      <c r="O21" s="86" t="s">
        <v>83</v>
      </c>
      <c r="P21" s="146"/>
      <c r="Q21" s="146"/>
      <c r="R21" s="146"/>
      <c r="S21" s="146"/>
      <c r="T21" s="146"/>
      <c r="U21" s="146"/>
      <c r="V21" s="146"/>
      <c r="W21" s="146"/>
      <c r="X21" s="146"/>
      <c r="Y21" s="146"/>
      <c r="Z21" s="146"/>
      <c r="AA21" s="146"/>
      <c r="AB21" s="146"/>
      <c r="AC21" s="146"/>
      <c r="AD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row>
    <row r="22" spans="1:78" s="72" customFormat="1" ht="51.75" customHeight="1" x14ac:dyDescent="0.2">
      <c r="A22" s="576"/>
      <c r="B22" s="136" t="s">
        <v>122</v>
      </c>
      <c r="C22" s="70">
        <v>2012</v>
      </c>
      <c r="D22" s="69" t="s">
        <v>91</v>
      </c>
      <c r="E22" s="146"/>
      <c r="F22" s="146"/>
      <c r="G22" s="146"/>
      <c r="H22" s="146"/>
      <c r="I22" s="146"/>
      <c r="J22" s="40"/>
      <c r="K22" s="73"/>
      <c r="L22" s="73"/>
      <c r="M22" s="73"/>
      <c r="N22" s="86"/>
      <c r="O22" s="86" t="s">
        <v>84</v>
      </c>
      <c r="P22" s="146"/>
      <c r="Q22" s="146"/>
      <c r="R22" s="146"/>
      <c r="S22" s="146"/>
      <c r="T22" s="146"/>
      <c r="U22" s="146"/>
      <c r="V22" s="146"/>
      <c r="W22" s="146"/>
      <c r="X22" s="146"/>
      <c r="Y22" s="146"/>
      <c r="Z22" s="146"/>
      <c r="AA22" s="146"/>
      <c r="AB22" s="146"/>
      <c r="AC22" s="146"/>
      <c r="AD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row>
    <row r="23" spans="1:78" s="35" customFormat="1" ht="60" customHeight="1" x14ac:dyDescent="0.2">
      <c r="A23" s="576" t="s">
        <v>69</v>
      </c>
      <c r="B23" s="135" t="s">
        <v>70</v>
      </c>
      <c r="C23" s="304">
        <v>7.6507980993202951</v>
      </c>
      <c r="D23" s="110"/>
      <c r="E23" s="146"/>
      <c r="F23" s="146"/>
      <c r="G23" s="146"/>
      <c r="H23" s="146"/>
      <c r="I23" s="146"/>
      <c r="J23" s="40"/>
      <c r="K23" s="36"/>
      <c r="L23" s="109">
        <v>7.6507980993202951</v>
      </c>
      <c r="M23" s="36"/>
      <c r="N23" s="45"/>
      <c r="O23" s="86" t="s">
        <v>47</v>
      </c>
      <c r="P23" s="146"/>
      <c r="Q23" s="146"/>
      <c r="R23" s="146"/>
      <c r="S23" s="146"/>
      <c r="T23" s="146"/>
      <c r="U23" s="146"/>
      <c r="V23" s="146"/>
      <c r="W23" s="146"/>
      <c r="X23" s="146"/>
      <c r="Y23" s="146"/>
      <c r="Z23" s="146"/>
      <c r="AA23" s="146"/>
      <c r="AB23" s="146"/>
      <c r="AC23" s="146"/>
      <c r="AD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row>
    <row r="24" spans="1:78" s="72" customFormat="1" ht="60" customHeight="1" x14ac:dyDescent="0.2">
      <c r="A24" s="576"/>
      <c r="B24" s="135" t="s">
        <v>168</v>
      </c>
      <c r="C24" s="305">
        <v>6600</v>
      </c>
      <c r="D24" s="197"/>
      <c r="E24" s="198"/>
      <c r="F24" s="198"/>
      <c r="G24" s="198"/>
      <c r="H24" s="198"/>
      <c r="I24" s="198"/>
      <c r="J24" s="199"/>
      <c r="K24" s="73"/>
      <c r="L24" s="44">
        <v>6600</v>
      </c>
      <c r="M24" s="73"/>
      <c r="N24" s="86"/>
      <c r="O24" s="86" t="s">
        <v>85</v>
      </c>
      <c r="P24" s="146"/>
      <c r="Q24" s="146"/>
      <c r="R24" s="146"/>
      <c r="S24" s="146"/>
      <c r="T24" s="146"/>
      <c r="U24" s="146"/>
      <c r="V24" s="146"/>
      <c r="W24" s="146"/>
      <c r="X24" s="146"/>
      <c r="Y24" s="146"/>
      <c r="Z24" s="146"/>
      <c r="AA24" s="146"/>
      <c r="AB24" s="146"/>
      <c r="AC24" s="146"/>
      <c r="AD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row>
    <row r="25" spans="1:78" s="35" customFormat="1" ht="60" hidden="1" customHeight="1" x14ac:dyDescent="0.2">
      <c r="A25" s="576" t="s">
        <v>71</v>
      </c>
      <c r="B25" s="14" t="s">
        <v>70</v>
      </c>
      <c r="C25" s="304">
        <v>6.8857789618210967</v>
      </c>
      <c r="D25" s="38"/>
      <c r="E25" s="146"/>
      <c r="F25" s="146"/>
      <c r="G25" s="146"/>
      <c r="H25" s="146"/>
      <c r="I25" s="146"/>
      <c r="J25" s="40"/>
      <c r="K25" s="36"/>
      <c r="L25" s="109">
        <v>6.8857789618210967</v>
      </c>
      <c r="M25" s="36"/>
      <c r="N25" s="45"/>
      <c r="O25" s="86" t="s">
        <v>86</v>
      </c>
      <c r="P25" s="146"/>
      <c r="Q25" s="146"/>
      <c r="R25" s="146"/>
      <c r="S25" s="146"/>
      <c r="T25" s="146"/>
      <c r="U25" s="146"/>
      <c r="V25" s="146"/>
      <c r="W25" s="146"/>
      <c r="X25" s="146"/>
      <c r="Y25" s="146"/>
      <c r="Z25" s="146"/>
      <c r="AA25" s="146"/>
      <c r="AB25" s="146"/>
      <c r="AC25" s="146"/>
      <c r="AD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row>
    <row r="26" spans="1:78" s="35" customFormat="1" ht="60" hidden="1" customHeight="1" x14ac:dyDescent="0.2">
      <c r="A26" s="576"/>
      <c r="B26" s="14" t="s">
        <v>168</v>
      </c>
      <c r="C26" s="305">
        <v>5700</v>
      </c>
      <c r="D26" s="195"/>
      <c r="E26" s="146"/>
      <c r="F26" s="146"/>
      <c r="G26" s="146"/>
      <c r="H26" s="146"/>
      <c r="I26" s="146"/>
      <c r="J26" s="40"/>
      <c r="K26" s="36"/>
      <c r="L26" s="44">
        <v>5700</v>
      </c>
      <c r="M26" s="36"/>
      <c r="N26" s="45"/>
      <c r="O26" s="86" t="s">
        <v>87</v>
      </c>
      <c r="P26" s="146"/>
      <c r="Q26" s="146"/>
      <c r="R26" s="146"/>
      <c r="S26" s="146"/>
      <c r="T26" s="146"/>
      <c r="U26" s="146"/>
      <c r="V26" s="146"/>
      <c r="W26" s="146"/>
      <c r="X26" s="146"/>
      <c r="Y26" s="146"/>
      <c r="Z26" s="146"/>
      <c r="AA26" s="146"/>
      <c r="AB26" s="146"/>
      <c r="AC26" s="146"/>
      <c r="AD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row>
    <row r="27" spans="1:78" s="176" customFormat="1" ht="15.75" customHeight="1" x14ac:dyDescent="0.2">
      <c r="A27" s="261"/>
      <c r="B27" s="146"/>
      <c r="C27" s="146"/>
      <c r="D27" s="146"/>
      <c r="E27" s="146"/>
      <c r="F27" s="146"/>
      <c r="G27" s="146"/>
      <c r="H27" s="146"/>
      <c r="I27" s="146"/>
      <c r="J27" s="40"/>
      <c r="K27" s="73"/>
      <c r="L27" s="196"/>
      <c r="M27" s="73"/>
      <c r="N27" s="178"/>
      <c r="O27" s="86" t="s">
        <v>88</v>
      </c>
      <c r="P27" s="146"/>
      <c r="Q27" s="146"/>
      <c r="R27" s="146"/>
      <c r="S27" s="146"/>
      <c r="T27" s="146"/>
      <c r="U27" s="146"/>
      <c r="V27" s="146"/>
      <c r="W27" s="146"/>
      <c r="X27" s="146"/>
      <c r="Y27" s="146"/>
      <c r="Z27" s="146"/>
      <c r="AA27" s="146"/>
      <c r="AB27" s="146"/>
      <c r="AC27" s="146"/>
      <c r="AD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row>
    <row r="28" spans="1:78" ht="36.950000000000003" customHeight="1" x14ac:dyDescent="0.2">
      <c r="A28" s="552">
        <v>7</v>
      </c>
      <c r="B28" s="415" t="s">
        <v>353</v>
      </c>
      <c r="C28" s="415"/>
      <c r="D28" s="577"/>
      <c r="E28" s="146"/>
      <c r="F28" s="146"/>
      <c r="G28" s="146"/>
      <c r="H28" s="146"/>
      <c r="I28" s="146"/>
      <c r="J28" s="40"/>
      <c r="K28" s="18"/>
      <c r="L28" s="18"/>
      <c r="M28" s="18"/>
      <c r="N28" s="45"/>
      <c r="O28" s="86" t="s">
        <v>89</v>
      </c>
      <c r="P28" s="146"/>
      <c r="Q28" s="146"/>
      <c r="R28" s="146"/>
      <c r="S28" s="146"/>
      <c r="T28" s="146"/>
      <c r="U28" s="146"/>
      <c r="V28" s="146"/>
      <c r="W28" s="146"/>
      <c r="X28" s="146"/>
      <c r="Y28" s="146"/>
      <c r="Z28" s="146"/>
      <c r="AA28" s="146"/>
      <c r="AB28" s="146"/>
      <c r="AC28" s="146"/>
      <c r="AD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row>
    <row r="29" spans="1:78" s="35" customFormat="1" ht="36.950000000000003" customHeight="1" x14ac:dyDescent="0.2">
      <c r="A29" s="552"/>
      <c r="B29" s="42"/>
      <c r="C29" s="38"/>
      <c r="D29" s="38"/>
      <c r="E29" s="146"/>
      <c r="F29" s="146"/>
      <c r="G29" s="146"/>
      <c r="H29" s="146"/>
      <c r="I29" s="146"/>
      <c r="J29" s="40"/>
      <c r="K29" s="36"/>
      <c r="L29" s="36"/>
      <c r="M29" s="36"/>
      <c r="N29" s="45"/>
      <c r="O29" s="86" t="s">
        <v>90</v>
      </c>
      <c r="P29" s="146"/>
      <c r="Q29" s="146"/>
      <c r="R29" s="146"/>
      <c r="S29" s="146"/>
      <c r="T29" s="146"/>
      <c r="U29" s="146"/>
      <c r="V29" s="146"/>
      <c r="W29" s="146"/>
      <c r="X29" s="146"/>
      <c r="Y29" s="146"/>
      <c r="Z29" s="146"/>
      <c r="AA29" s="146"/>
      <c r="AB29" s="146"/>
      <c r="AC29" s="146"/>
      <c r="AD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row>
    <row r="30" spans="1:78" s="65" customFormat="1" ht="36.950000000000003" customHeight="1" x14ac:dyDescent="0.2">
      <c r="A30" s="552"/>
      <c r="B30" s="42"/>
      <c r="C30" s="38"/>
      <c r="D30" s="38"/>
      <c r="E30" s="146"/>
      <c r="F30" s="146"/>
      <c r="G30" s="146"/>
      <c r="H30" s="146"/>
      <c r="I30" s="146"/>
      <c r="J30" s="40"/>
      <c r="K30" s="66"/>
      <c r="L30" s="66"/>
      <c r="M30" s="66"/>
      <c r="N30" s="45"/>
      <c r="O30" s="86" t="s">
        <v>91</v>
      </c>
      <c r="P30" s="146"/>
      <c r="Q30" s="146"/>
      <c r="R30" s="146"/>
      <c r="S30" s="146"/>
      <c r="T30" s="146"/>
      <c r="U30" s="146"/>
      <c r="V30" s="146"/>
      <c r="W30" s="146"/>
      <c r="X30" s="146"/>
      <c r="Y30" s="146"/>
      <c r="Z30" s="146"/>
      <c r="AA30" s="146"/>
      <c r="AB30" s="146"/>
      <c r="AC30" s="146"/>
      <c r="AD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row>
    <row r="31" spans="1:78" s="72" customFormat="1" ht="36.950000000000003" customHeight="1" x14ac:dyDescent="0.2">
      <c r="A31" s="552"/>
      <c r="B31" s="42"/>
      <c r="C31" s="38"/>
      <c r="D31" s="38"/>
      <c r="E31" s="146"/>
      <c r="F31" s="146"/>
      <c r="G31" s="146"/>
      <c r="H31" s="146"/>
      <c r="I31" s="146"/>
      <c r="J31" s="40"/>
      <c r="K31" s="73"/>
      <c r="L31" s="73"/>
      <c r="M31" s="73"/>
      <c r="N31" s="86"/>
      <c r="O31" s="86" t="s">
        <v>92</v>
      </c>
      <c r="P31" s="146"/>
      <c r="Q31" s="146"/>
      <c r="R31" s="146"/>
      <c r="S31" s="146"/>
      <c r="T31" s="146"/>
      <c r="U31" s="146"/>
      <c r="V31" s="146"/>
      <c r="W31" s="146"/>
      <c r="X31" s="146"/>
      <c r="Y31" s="146"/>
      <c r="Z31" s="146"/>
      <c r="AA31" s="146"/>
      <c r="AB31" s="146"/>
      <c r="AC31" s="146"/>
      <c r="AD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row>
    <row r="32" spans="1:78" s="72" customFormat="1" ht="15.75" x14ac:dyDescent="0.2">
      <c r="A32" s="552"/>
      <c r="B32" s="185" t="s">
        <v>277</v>
      </c>
      <c r="C32" s="184"/>
      <c r="D32" s="183"/>
      <c r="E32" s="146"/>
      <c r="F32" s="146"/>
      <c r="G32" s="146"/>
      <c r="H32" s="146"/>
      <c r="I32" s="146"/>
      <c r="J32" s="40"/>
      <c r="K32" s="73"/>
      <c r="L32" s="73"/>
      <c r="M32" s="73"/>
      <c r="N32" s="86"/>
      <c r="O32" s="86" t="s">
        <v>93</v>
      </c>
      <c r="P32" s="146"/>
      <c r="Q32" s="146"/>
      <c r="R32" s="146"/>
      <c r="S32" s="146"/>
      <c r="T32" s="146"/>
      <c r="U32" s="146"/>
      <c r="V32" s="146"/>
      <c r="W32" s="146"/>
      <c r="X32" s="146"/>
      <c r="Y32" s="146"/>
      <c r="Z32" s="146"/>
      <c r="AA32" s="146"/>
      <c r="AB32" s="146"/>
      <c r="AC32" s="146"/>
      <c r="AD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row>
    <row r="33" spans="1:78" s="35" customFormat="1" ht="23.1" customHeight="1" x14ac:dyDescent="0.2">
      <c r="A33" s="552"/>
      <c r="B33" s="164" t="s">
        <v>190</v>
      </c>
      <c r="C33" s="174"/>
      <c r="D33" s="153">
        <v>6139</v>
      </c>
      <c r="E33" s="75"/>
      <c r="F33" s="111"/>
      <c r="G33" s="146"/>
      <c r="H33" s="146"/>
      <c r="I33" s="146"/>
      <c r="J33" s="40"/>
      <c r="K33" s="36"/>
      <c r="L33" s="37">
        <v>6139</v>
      </c>
      <c r="M33" s="36"/>
      <c r="N33" s="45"/>
      <c r="O33" s="86" t="s">
        <v>94</v>
      </c>
      <c r="P33" s="146"/>
      <c r="Q33" s="146"/>
      <c r="R33" s="146"/>
      <c r="S33" s="146"/>
      <c r="T33" s="146"/>
      <c r="U33" s="146"/>
      <c r="V33" s="146"/>
      <c r="W33" s="146"/>
      <c r="X33" s="146"/>
      <c r="Y33" s="146"/>
      <c r="Z33" s="146"/>
      <c r="AA33" s="146"/>
      <c r="AB33" s="146"/>
      <c r="AC33" s="146"/>
      <c r="AD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row>
    <row r="34" spans="1:78" s="35" customFormat="1" ht="23.1" customHeight="1" x14ac:dyDescent="0.2">
      <c r="A34" s="552"/>
      <c r="B34" s="164" t="s">
        <v>215</v>
      </c>
      <c r="C34" s="175"/>
      <c r="D34" s="153">
        <v>83</v>
      </c>
      <c r="E34" s="112"/>
      <c r="F34" s="111"/>
      <c r="G34" s="146"/>
      <c r="H34" s="146"/>
      <c r="I34" s="146"/>
      <c r="J34" s="40"/>
      <c r="K34" s="36"/>
      <c r="L34" s="37">
        <v>83</v>
      </c>
      <c r="M34" s="36"/>
      <c r="N34" s="45"/>
      <c r="O34" s="86" t="s">
        <v>95</v>
      </c>
      <c r="P34" s="146"/>
      <c r="Q34" s="146"/>
      <c r="R34" s="146"/>
      <c r="S34" s="146"/>
      <c r="T34" s="146"/>
      <c r="U34" s="146"/>
      <c r="V34" s="146"/>
      <c r="W34" s="146"/>
      <c r="X34" s="146"/>
      <c r="Y34" s="146"/>
      <c r="Z34" s="146"/>
      <c r="AA34" s="146"/>
      <c r="AB34" s="146"/>
      <c r="AC34" s="146"/>
      <c r="AD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row>
    <row r="35" spans="1:78" s="35" customFormat="1" ht="23.1" customHeight="1" x14ac:dyDescent="0.2">
      <c r="A35" s="552"/>
      <c r="B35" s="164" t="s">
        <v>37</v>
      </c>
      <c r="C35" s="175"/>
      <c r="D35" s="154">
        <v>92</v>
      </c>
      <c r="E35" s="112"/>
      <c r="F35" s="111"/>
      <c r="G35" s="146"/>
      <c r="H35" s="146"/>
      <c r="I35" s="146"/>
      <c r="J35" s="40"/>
      <c r="K35" s="36"/>
      <c r="L35" s="33">
        <v>92</v>
      </c>
      <c r="M35" s="36"/>
      <c r="N35" s="45"/>
      <c r="O35" s="86" t="s">
        <v>96</v>
      </c>
      <c r="P35" s="146"/>
      <c r="Q35" s="146"/>
      <c r="R35" s="146"/>
      <c r="S35" s="146"/>
      <c r="T35" s="146"/>
      <c r="U35" s="146"/>
      <c r="V35" s="146"/>
      <c r="W35" s="146"/>
      <c r="X35" s="146"/>
      <c r="Y35" s="146"/>
      <c r="Z35" s="146"/>
      <c r="AA35" s="146"/>
      <c r="AB35" s="146"/>
      <c r="AC35" s="146"/>
      <c r="AD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row>
    <row r="36" spans="1:78" s="72" customFormat="1" ht="15.75" x14ac:dyDescent="0.2">
      <c r="A36" s="552"/>
      <c r="B36" s="185" t="s">
        <v>231</v>
      </c>
      <c r="C36" s="184"/>
      <c r="D36" s="183"/>
      <c r="E36" s="112"/>
      <c r="F36" s="111"/>
      <c r="G36" s="146"/>
      <c r="H36" s="146"/>
      <c r="I36" s="146"/>
      <c r="J36" s="40"/>
      <c r="K36" s="73"/>
      <c r="L36" s="33"/>
      <c r="M36" s="73"/>
      <c r="N36" s="86"/>
      <c r="O36" s="86" t="s">
        <v>97</v>
      </c>
      <c r="P36" s="146"/>
      <c r="Q36" s="146"/>
      <c r="R36" s="146"/>
      <c r="S36" s="146"/>
      <c r="T36" s="146"/>
      <c r="U36" s="146"/>
      <c r="V36" s="146"/>
      <c r="W36" s="146"/>
      <c r="X36" s="146"/>
      <c r="Y36" s="146"/>
      <c r="Z36" s="146"/>
      <c r="AA36" s="146"/>
      <c r="AB36" s="146"/>
      <c r="AC36" s="146"/>
      <c r="AD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row>
    <row r="37" spans="1:78" s="35" customFormat="1" ht="23.1" customHeight="1" x14ac:dyDescent="0.2">
      <c r="A37" s="552"/>
      <c r="B37" s="164" t="s">
        <v>1</v>
      </c>
      <c r="C37" s="175"/>
      <c r="D37" s="153">
        <v>21</v>
      </c>
      <c r="E37" s="112"/>
      <c r="F37" s="111"/>
      <c r="G37" s="146"/>
      <c r="H37" s="146"/>
      <c r="I37" s="146"/>
      <c r="J37" s="40"/>
      <c r="K37" s="36"/>
      <c r="L37" s="37">
        <v>21</v>
      </c>
      <c r="M37" s="36"/>
      <c r="N37" s="45"/>
      <c r="O37" s="86" t="s">
        <v>98</v>
      </c>
      <c r="P37" s="146"/>
      <c r="Q37" s="146"/>
      <c r="R37" s="146"/>
      <c r="S37" s="146"/>
      <c r="T37" s="146"/>
      <c r="U37" s="146"/>
      <c r="V37" s="146"/>
      <c r="W37" s="146"/>
      <c r="X37" s="146"/>
      <c r="Y37" s="146"/>
      <c r="Z37" s="146"/>
      <c r="AA37" s="146"/>
      <c r="AB37" s="146"/>
      <c r="AC37" s="146"/>
      <c r="AD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row>
    <row r="38" spans="1:78" s="35" customFormat="1" ht="23.1" customHeight="1" x14ac:dyDescent="0.2">
      <c r="A38" s="552"/>
      <c r="B38" s="164" t="s">
        <v>2</v>
      </c>
      <c r="C38" s="175"/>
      <c r="D38" s="153">
        <v>0</v>
      </c>
      <c r="E38" s="112"/>
      <c r="F38" s="111"/>
      <c r="G38" s="146"/>
      <c r="H38" s="146"/>
      <c r="I38" s="146"/>
      <c r="J38" s="40"/>
      <c r="K38" s="36"/>
      <c r="L38" s="37">
        <v>0</v>
      </c>
      <c r="M38" s="36"/>
      <c r="N38" s="45"/>
      <c r="O38" s="86" t="s">
        <v>99</v>
      </c>
      <c r="P38" s="146"/>
      <c r="Q38" s="146"/>
      <c r="R38" s="146"/>
      <c r="S38" s="146"/>
      <c r="T38" s="146"/>
      <c r="U38" s="146"/>
      <c r="V38" s="146"/>
      <c r="W38" s="146"/>
      <c r="X38" s="146"/>
      <c r="Y38" s="146"/>
      <c r="Z38" s="146"/>
      <c r="AA38" s="146"/>
      <c r="AB38" s="146"/>
      <c r="AC38" s="146"/>
      <c r="AD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row>
    <row r="39" spans="1:78" s="35" customFormat="1" ht="23.1" customHeight="1" x14ac:dyDescent="0.2">
      <c r="A39" s="552"/>
      <c r="B39" s="164" t="s">
        <v>191</v>
      </c>
      <c r="C39" s="175"/>
      <c r="D39" s="153">
        <v>0</v>
      </c>
      <c r="E39" s="112"/>
      <c r="F39" s="111"/>
      <c r="G39" s="146"/>
      <c r="H39" s="146"/>
      <c r="I39" s="146"/>
      <c r="J39" s="40"/>
      <c r="K39" s="36"/>
      <c r="L39" s="37">
        <v>0</v>
      </c>
      <c r="M39" s="36"/>
      <c r="N39" s="45"/>
      <c r="O39" s="86" t="s">
        <v>100</v>
      </c>
      <c r="P39" s="146"/>
      <c r="Q39" s="146"/>
      <c r="R39" s="146"/>
      <c r="S39" s="146"/>
      <c r="T39" s="146"/>
      <c r="U39" s="146"/>
      <c r="V39" s="146"/>
      <c r="W39" s="146"/>
      <c r="X39" s="146"/>
      <c r="Y39" s="146"/>
      <c r="Z39" s="146"/>
      <c r="AA39" s="146"/>
      <c r="AB39" s="146"/>
      <c r="AC39" s="146"/>
      <c r="AD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row>
    <row r="40" spans="1:78" s="35" customFormat="1" ht="23.1" customHeight="1" x14ac:dyDescent="0.2">
      <c r="A40" s="552"/>
      <c r="B40" s="164" t="s">
        <v>192</v>
      </c>
      <c r="C40" s="175"/>
      <c r="D40" s="153">
        <v>32</v>
      </c>
      <c r="E40" s="112"/>
      <c r="F40" s="111"/>
      <c r="G40" s="146"/>
      <c r="H40" s="146"/>
      <c r="I40" s="146"/>
      <c r="J40" s="40"/>
      <c r="K40" s="36"/>
      <c r="L40" s="37">
        <v>32</v>
      </c>
      <c r="M40" s="36"/>
      <c r="N40" s="45"/>
      <c r="O40" s="86" t="s">
        <v>101</v>
      </c>
      <c r="P40" s="146"/>
      <c r="Q40" s="146"/>
      <c r="R40" s="146"/>
      <c r="S40" s="146"/>
      <c r="T40" s="146"/>
      <c r="U40" s="146"/>
      <c r="V40" s="146"/>
      <c r="W40" s="146"/>
      <c r="X40" s="146"/>
      <c r="Y40" s="146"/>
      <c r="Z40" s="146"/>
      <c r="AA40" s="146"/>
      <c r="AB40" s="146"/>
      <c r="AC40" s="146"/>
      <c r="AD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row>
    <row r="41" spans="1:78" s="35" customFormat="1" ht="23.1" customHeight="1" x14ac:dyDescent="0.2">
      <c r="A41" s="552"/>
      <c r="B41" s="164" t="s">
        <v>5</v>
      </c>
      <c r="C41" s="175"/>
      <c r="D41" s="153">
        <v>0</v>
      </c>
      <c r="E41" s="112"/>
      <c r="F41" s="111"/>
      <c r="G41" s="146"/>
      <c r="H41" s="146"/>
      <c r="I41" s="146"/>
      <c r="J41" s="40"/>
      <c r="K41" s="36"/>
      <c r="L41" s="37">
        <v>0</v>
      </c>
      <c r="M41" s="36"/>
      <c r="N41" s="45"/>
      <c r="O41" s="86" t="s">
        <v>102</v>
      </c>
      <c r="P41" s="146"/>
      <c r="Q41" s="146"/>
      <c r="R41" s="146"/>
      <c r="S41" s="146"/>
      <c r="T41" s="146"/>
      <c r="U41" s="146"/>
      <c r="V41" s="146"/>
      <c r="W41" s="146"/>
      <c r="X41" s="146"/>
      <c r="Y41" s="146"/>
      <c r="Z41" s="146"/>
      <c r="AA41" s="146"/>
      <c r="AB41" s="146"/>
      <c r="AC41" s="146"/>
      <c r="AD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row>
    <row r="42" spans="1:78" s="35" customFormat="1" ht="23.1" customHeight="1" x14ac:dyDescent="0.2">
      <c r="A42" s="552"/>
      <c r="B42" s="164" t="s">
        <v>6</v>
      </c>
      <c r="C42" s="175"/>
      <c r="D42" s="153">
        <v>0</v>
      </c>
      <c r="E42" s="112"/>
      <c r="F42" s="111"/>
      <c r="G42" s="146"/>
      <c r="H42" s="146"/>
      <c r="I42" s="146"/>
      <c r="J42" s="40"/>
      <c r="K42" s="36"/>
      <c r="L42" s="37">
        <v>0</v>
      </c>
      <c r="M42" s="36"/>
      <c r="N42" s="45"/>
      <c r="O42" s="86" t="s">
        <v>103</v>
      </c>
      <c r="P42" s="146"/>
      <c r="Q42" s="146"/>
      <c r="R42" s="146"/>
      <c r="S42" s="146"/>
      <c r="T42" s="146"/>
      <c r="U42" s="146"/>
      <c r="V42" s="146"/>
      <c r="W42" s="146"/>
      <c r="X42" s="146"/>
      <c r="Y42" s="146"/>
      <c r="Z42" s="146"/>
      <c r="AA42" s="146"/>
      <c r="AB42" s="146"/>
      <c r="AC42" s="146"/>
      <c r="AD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row>
    <row r="43" spans="1:78" s="35" customFormat="1" ht="23.1" customHeight="1" x14ac:dyDescent="0.2">
      <c r="A43" s="552"/>
      <c r="B43" s="164" t="s">
        <v>63</v>
      </c>
      <c r="C43" s="175"/>
      <c r="D43" s="162">
        <v>0.88</v>
      </c>
      <c r="E43" s="112"/>
      <c r="F43" s="111"/>
      <c r="G43" s="38"/>
      <c r="H43" s="146"/>
      <c r="I43" s="146"/>
      <c r="J43" s="40"/>
      <c r="K43" s="36"/>
      <c r="L43" s="32">
        <v>0.88</v>
      </c>
      <c r="M43" s="36"/>
      <c r="N43" s="45"/>
      <c r="O43" s="86" t="s">
        <v>104</v>
      </c>
      <c r="P43" s="146"/>
      <c r="Q43" s="146"/>
      <c r="R43" s="146"/>
      <c r="S43" s="146"/>
      <c r="T43" s="146"/>
      <c r="U43" s="146"/>
      <c r="V43" s="146"/>
      <c r="W43" s="146"/>
      <c r="X43" s="146"/>
      <c r="Y43" s="146"/>
      <c r="Z43" s="146"/>
      <c r="AA43" s="146"/>
      <c r="AB43" s="146"/>
      <c r="AC43" s="146"/>
      <c r="AD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row>
    <row r="44" spans="1:78" s="35" customFormat="1" ht="23.1" customHeight="1" x14ac:dyDescent="0.2">
      <c r="A44" s="552"/>
      <c r="B44" s="164" t="s">
        <v>64</v>
      </c>
      <c r="C44" s="175"/>
      <c r="D44" s="162">
        <v>1.23</v>
      </c>
      <c r="E44" s="112"/>
      <c r="F44" s="111"/>
      <c r="G44" s="38"/>
      <c r="H44" s="146"/>
      <c r="I44" s="146"/>
      <c r="J44" s="40"/>
      <c r="K44" s="36"/>
      <c r="L44" s="32">
        <v>1.23</v>
      </c>
      <c r="M44" s="36"/>
      <c r="N44" s="45"/>
      <c r="O44" s="86" t="s">
        <v>105</v>
      </c>
      <c r="P44" s="146"/>
      <c r="Q44" s="146"/>
      <c r="R44" s="146"/>
      <c r="S44" s="146"/>
      <c r="T44" s="146"/>
      <c r="U44" s="146"/>
      <c r="V44" s="146"/>
      <c r="W44" s="146"/>
      <c r="X44" s="146"/>
      <c r="Y44" s="146"/>
      <c r="Z44" s="146"/>
      <c r="AA44" s="146"/>
      <c r="AB44" s="146"/>
      <c r="AC44" s="146"/>
      <c r="AD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row>
    <row r="45" spans="1:78" s="35" customFormat="1" ht="15.75" customHeight="1" x14ac:dyDescent="0.2">
      <c r="A45" s="262"/>
      <c r="B45" s="15"/>
      <c r="C45" s="54"/>
      <c r="D45" s="54"/>
      <c r="E45" s="38"/>
      <c r="F45" s="146"/>
      <c r="G45" s="38"/>
      <c r="H45" s="146"/>
      <c r="I45" s="146"/>
      <c r="J45" s="40"/>
      <c r="K45" s="36"/>
      <c r="L45" s="36"/>
      <c r="M45" s="36"/>
      <c r="N45" s="45"/>
      <c r="O45" s="86" t="s">
        <v>106</v>
      </c>
      <c r="P45" s="146"/>
      <c r="Q45" s="146"/>
      <c r="R45" s="146"/>
      <c r="S45" s="146"/>
      <c r="T45" s="146"/>
      <c r="U45" s="146"/>
      <c r="V45" s="146"/>
      <c r="W45" s="146"/>
      <c r="X45" s="146"/>
      <c r="Y45" s="146"/>
      <c r="Z45" s="146"/>
      <c r="AA45" s="146"/>
      <c r="AB45" s="146"/>
      <c r="AC45" s="146"/>
      <c r="AD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row>
    <row r="46" spans="1:78" s="35" customFormat="1" ht="15.75" customHeight="1" x14ac:dyDescent="0.2">
      <c r="A46" s="552">
        <v>8</v>
      </c>
      <c r="B46" s="553" t="s">
        <v>354</v>
      </c>
      <c r="C46" s="553"/>
      <c r="D46" s="554"/>
      <c r="E46" s="38"/>
      <c r="F46" s="146"/>
      <c r="G46" s="38"/>
      <c r="H46" s="146"/>
      <c r="I46" s="146"/>
      <c r="J46" s="40"/>
      <c r="K46" s="36"/>
      <c r="L46" s="36"/>
      <c r="M46" s="36"/>
      <c r="N46" s="45"/>
      <c r="O46" s="86" t="s">
        <v>107</v>
      </c>
      <c r="P46" s="146"/>
      <c r="Q46" s="146"/>
      <c r="R46" s="146"/>
      <c r="S46" s="146"/>
      <c r="T46" s="146"/>
      <c r="U46" s="146"/>
      <c r="V46" s="146"/>
      <c r="W46" s="146"/>
      <c r="X46" s="146"/>
      <c r="Y46" s="146"/>
      <c r="Z46" s="146"/>
      <c r="AA46" s="146"/>
      <c r="AB46" s="146"/>
      <c r="AC46" s="146"/>
      <c r="AD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6"/>
    </row>
    <row r="47" spans="1:78" s="35" customFormat="1" ht="15.75" customHeight="1" x14ac:dyDescent="0.2">
      <c r="A47" s="552"/>
      <c r="B47" s="555"/>
      <c r="C47" s="555"/>
      <c r="D47" s="556"/>
      <c r="E47" s="38"/>
      <c r="F47" s="146"/>
      <c r="G47" s="38"/>
      <c r="H47" s="146"/>
      <c r="I47" s="146"/>
      <c r="J47" s="40"/>
      <c r="K47" s="36"/>
      <c r="L47" s="36"/>
      <c r="M47" s="36"/>
      <c r="N47" s="45"/>
      <c r="O47" s="86" t="s">
        <v>108</v>
      </c>
      <c r="P47" s="146"/>
      <c r="Q47" s="146"/>
      <c r="R47" s="146"/>
      <c r="S47" s="146"/>
      <c r="T47" s="146"/>
      <c r="U47" s="146"/>
      <c r="V47" s="146"/>
      <c r="W47" s="146"/>
      <c r="X47" s="146"/>
      <c r="Y47" s="146"/>
      <c r="Z47" s="146"/>
      <c r="AA47" s="146"/>
      <c r="AB47" s="146"/>
      <c r="AC47" s="146"/>
      <c r="AD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row>
    <row r="48" spans="1:78" s="35" customFormat="1" ht="15.75" customHeight="1" x14ac:dyDescent="0.2">
      <c r="A48" s="552"/>
      <c r="B48" s="146"/>
      <c r="C48" s="146"/>
      <c r="D48" s="146"/>
      <c r="E48" s="38"/>
      <c r="F48" s="146"/>
      <c r="G48" s="38"/>
      <c r="H48" s="146"/>
      <c r="I48" s="146"/>
      <c r="J48" s="40"/>
      <c r="K48" s="36"/>
      <c r="L48" s="36"/>
      <c r="M48" s="36"/>
      <c r="N48" s="45"/>
      <c r="O48" s="86" t="s">
        <v>112</v>
      </c>
      <c r="P48" s="146"/>
      <c r="Q48" s="146"/>
      <c r="R48" s="146"/>
      <c r="S48" s="146"/>
      <c r="T48" s="146"/>
      <c r="U48" s="146"/>
      <c r="V48" s="146"/>
      <c r="W48" s="146"/>
      <c r="X48" s="146"/>
      <c r="Y48" s="146"/>
      <c r="Z48" s="146"/>
      <c r="AA48" s="146"/>
      <c r="AB48" s="146"/>
      <c r="AC48" s="146"/>
      <c r="AD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row>
    <row r="49" spans="1:78" s="35" customFormat="1" ht="15.75" customHeight="1" x14ac:dyDescent="0.2">
      <c r="A49" s="552"/>
      <c r="B49" s="146"/>
      <c r="C49" s="146"/>
      <c r="D49" s="146"/>
      <c r="E49" s="38"/>
      <c r="F49" s="146"/>
      <c r="G49" s="38"/>
      <c r="H49" s="146"/>
      <c r="I49" s="146"/>
      <c r="J49" s="40"/>
      <c r="K49" s="36"/>
      <c r="L49" s="36"/>
      <c r="M49" s="36"/>
      <c r="N49" s="45"/>
      <c r="O49" s="86" t="s">
        <v>109</v>
      </c>
      <c r="P49" s="146"/>
      <c r="Q49" s="146"/>
      <c r="R49" s="146"/>
      <c r="S49" s="146"/>
      <c r="T49" s="146"/>
      <c r="U49" s="146"/>
      <c r="V49" s="146"/>
      <c r="W49" s="146"/>
      <c r="X49" s="146"/>
      <c r="Y49" s="146"/>
      <c r="Z49" s="146"/>
      <c r="AA49" s="146"/>
      <c r="AB49" s="146"/>
      <c r="AC49" s="146"/>
      <c r="AD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row>
    <row r="50" spans="1:78" s="35" customFormat="1" ht="15.75" customHeight="1" x14ac:dyDescent="0.2">
      <c r="A50" s="552"/>
      <c r="B50" s="146"/>
      <c r="C50" s="146"/>
      <c r="D50" s="38"/>
      <c r="E50" s="38"/>
      <c r="F50" s="146"/>
      <c r="G50" s="38"/>
      <c r="H50" s="146"/>
      <c r="I50" s="146"/>
      <c r="J50" s="40"/>
      <c r="K50" s="36"/>
      <c r="L50" s="36"/>
      <c r="M50" s="36"/>
      <c r="N50" s="45"/>
      <c r="P50" s="146"/>
      <c r="Q50" s="146"/>
      <c r="R50" s="146"/>
      <c r="S50" s="146"/>
      <c r="T50" s="146"/>
      <c r="U50" s="146"/>
      <c r="V50" s="146"/>
      <c r="W50" s="146"/>
      <c r="X50" s="146"/>
      <c r="Y50" s="146"/>
      <c r="Z50" s="146"/>
      <c r="AA50" s="146"/>
      <c r="AB50" s="146"/>
      <c r="AC50" s="146"/>
      <c r="AD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row>
    <row r="51" spans="1:78" s="35" customFormat="1" ht="15.75" customHeight="1" x14ac:dyDescent="0.2">
      <c r="A51" s="552"/>
      <c r="B51" s="146"/>
      <c r="C51" s="146"/>
      <c r="D51" s="38"/>
      <c r="E51" s="38"/>
      <c r="F51" s="146"/>
      <c r="G51" s="38"/>
      <c r="H51" s="146"/>
      <c r="I51" s="146"/>
      <c r="J51" s="40"/>
      <c r="K51" s="36"/>
      <c r="L51" s="36"/>
      <c r="M51" s="36"/>
      <c r="N51" s="45"/>
      <c r="P51" s="146"/>
      <c r="Q51" s="146"/>
      <c r="R51" s="146"/>
      <c r="S51" s="146"/>
      <c r="T51" s="146"/>
      <c r="U51" s="146"/>
      <c r="V51" s="146"/>
      <c r="W51" s="146"/>
      <c r="X51" s="146"/>
      <c r="Y51" s="146"/>
      <c r="Z51" s="146"/>
      <c r="AA51" s="146"/>
      <c r="AB51" s="146"/>
      <c r="AC51" s="146"/>
      <c r="AD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row>
    <row r="52" spans="1:78" s="35" customFormat="1" ht="15.75" customHeight="1" x14ac:dyDescent="0.2">
      <c r="A52" s="552"/>
      <c r="B52" s="146"/>
      <c r="C52" s="146"/>
      <c r="D52" s="38"/>
      <c r="E52" s="38"/>
      <c r="F52" s="146"/>
      <c r="G52" s="38"/>
      <c r="H52" s="146"/>
      <c r="I52" s="146"/>
      <c r="J52" s="40"/>
      <c r="K52" s="36"/>
      <c r="L52" s="36"/>
      <c r="M52" s="36"/>
      <c r="N52" s="45"/>
      <c r="O52" s="86"/>
      <c r="P52" s="146"/>
      <c r="Q52" s="146"/>
      <c r="R52" s="146"/>
      <c r="S52" s="146"/>
      <c r="T52" s="146"/>
      <c r="U52" s="146"/>
      <c r="V52" s="146"/>
      <c r="W52" s="146"/>
      <c r="X52" s="146"/>
      <c r="Y52" s="146"/>
      <c r="Z52" s="146"/>
      <c r="AA52" s="146"/>
      <c r="AB52" s="146"/>
      <c r="AC52" s="146"/>
      <c r="AD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row>
    <row r="53" spans="1:78" s="35" customFormat="1" ht="15.75" customHeight="1" x14ac:dyDescent="0.2">
      <c r="A53" s="552"/>
      <c r="B53" s="146"/>
      <c r="C53" s="146"/>
      <c r="D53" s="38"/>
      <c r="E53" s="38"/>
      <c r="F53" s="146"/>
      <c r="G53" s="38"/>
      <c r="H53" s="146"/>
      <c r="I53" s="146"/>
      <c r="J53" s="40"/>
      <c r="K53" s="36"/>
      <c r="L53" s="36"/>
      <c r="M53" s="36"/>
      <c r="N53" s="45"/>
      <c r="O53" s="86"/>
      <c r="P53" s="146"/>
      <c r="Q53" s="146"/>
      <c r="R53" s="146"/>
      <c r="S53" s="146"/>
      <c r="T53" s="146"/>
      <c r="U53" s="146"/>
      <c r="V53" s="146"/>
      <c r="W53" s="146"/>
      <c r="X53" s="146"/>
      <c r="Y53" s="146"/>
      <c r="Z53" s="146"/>
      <c r="AA53" s="146"/>
      <c r="AB53" s="146"/>
      <c r="AC53" s="146"/>
      <c r="AD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row>
    <row r="54" spans="1:78" s="35" customFormat="1" ht="15.75" customHeight="1" x14ac:dyDescent="0.2">
      <c r="A54" s="552"/>
      <c r="B54" s="146"/>
      <c r="C54" s="146"/>
      <c r="D54" s="38"/>
      <c r="E54" s="38"/>
      <c r="F54" s="146"/>
      <c r="G54" s="38"/>
      <c r="H54" s="146"/>
      <c r="I54" s="146"/>
      <c r="J54" s="40"/>
      <c r="K54" s="36"/>
      <c r="L54" s="36"/>
      <c r="M54" s="36"/>
      <c r="N54" s="45"/>
      <c r="O54" s="45"/>
      <c r="P54" s="146"/>
      <c r="Q54" s="146"/>
      <c r="R54" s="146"/>
      <c r="S54" s="146"/>
      <c r="T54" s="146"/>
      <c r="U54" s="146"/>
      <c r="V54" s="146"/>
      <c r="W54" s="146"/>
      <c r="X54" s="146"/>
      <c r="Y54" s="146"/>
      <c r="Z54" s="146"/>
      <c r="AA54" s="146"/>
      <c r="AB54" s="146"/>
      <c r="AC54" s="146"/>
      <c r="AD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row>
    <row r="55" spans="1:78" s="35" customFormat="1" ht="15.75" customHeight="1" x14ac:dyDescent="0.2">
      <c r="A55" s="552"/>
      <c r="B55" s="146"/>
      <c r="C55" s="146"/>
      <c r="D55" s="38"/>
      <c r="E55" s="38"/>
      <c r="F55" s="146"/>
      <c r="G55" s="38"/>
      <c r="H55" s="146"/>
      <c r="I55" s="146"/>
      <c r="J55" s="40"/>
      <c r="K55" s="36"/>
      <c r="L55" s="36"/>
      <c r="M55" s="36"/>
      <c r="O55" s="45"/>
      <c r="P55" s="146"/>
      <c r="Q55" s="146"/>
      <c r="R55" s="146"/>
      <c r="S55" s="146"/>
      <c r="T55" s="146"/>
      <c r="U55" s="146"/>
      <c r="V55" s="146"/>
      <c r="W55" s="146"/>
      <c r="X55" s="146"/>
      <c r="Y55" s="146"/>
      <c r="Z55" s="146"/>
      <c r="AA55" s="146"/>
      <c r="AB55" s="146"/>
      <c r="AC55" s="146"/>
      <c r="AD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row>
    <row r="56" spans="1:78" s="35" customFormat="1" ht="15.75" customHeight="1" x14ac:dyDescent="0.2">
      <c r="A56" s="552"/>
      <c r="B56" s="146"/>
      <c r="C56" s="146"/>
      <c r="D56" s="38"/>
      <c r="E56" s="38"/>
      <c r="F56" s="146"/>
      <c r="G56" s="38"/>
      <c r="H56" s="146"/>
      <c r="I56" s="146"/>
      <c r="J56" s="40"/>
      <c r="K56" s="36"/>
      <c r="L56" s="36"/>
      <c r="M56" s="36"/>
      <c r="P56" s="146"/>
      <c r="Q56" s="146"/>
      <c r="R56" s="146"/>
      <c r="S56" s="146"/>
      <c r="T56" s="146"/>
      <c r="U56" s="146"/>
      <c r="V56" s="146"/>
      <c r="W56" s="146"/>
      <c r="X56" s="146"/>
      <c r="Y56" s="146"/>
      <c r="Z56" s="146"/>
      <c r="AA56" s="146"/>
      <c r="AB56" s="146"/>
      <c r="AC56" s="146"/>
      <c r="AD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row>
    <row r="57" spans="1:78" s="35" customFormat="1" ht="15.75" customHeight="1" x14ac:dyDescent="0.2">
      <c r="A57" s="262"/>
      <c r="B57" s="146"/>
      <c r="C57" s="146"/>
      <c r="D57" s="38"/>
      <c r="E57" s="38"/>
      <c r="F57" s="146"/>
      <c r="G57" s="38"/>
      <c r="H57" s="146"/>
      <c r="I57" s="146"/>
      <c r="J57" s="40"/>
      <c r="K57" s="36"/>
      <c r="L57" s="36"/>
      <c r="M57" s="73"/>
      <c r="N57" s="36"/>
      <c r="O57" s="36"/>
      <c r="P57" s="146"/>
      <c r="Q57" s="146"/>
      <c r="R57" s="146"/>
      <c r="S57" s="146"/>
      <c r="T57" s="146"/>
      <c r="U57" s="146"/>
      <c r="V57" s="146"/>
      <c r="W57" s="146"/>
      <c r="X57" s="146"/>
      <c r="Y57" s="146"/>
      <c r="Z57" s="146"/>
      <c r="AA57" s="146"/>
      <c r="AB57" s="146"/>
      <c r="AC57" s="146"/>
      <c r="AD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row>
    <row r="58" spans="1:78" ht="36.950000000000003" customHeight="1" x14ac:dyDescent="0.2">
      <c r="A58" s="552">
        <v>9</v>
      </c>
      <c r="B58" s="594" t="s">
        <v>355</v>
      </c>
      <c r="C58" s="415"/>
      <c r="D58" s="415"/>
      <c r="E58" s="415"/>
      <c r="F58" s="415"/>
      <c r="G58" s="415"/>
      <c r="H58" s="577"/>
      <c r="I58" s="146"/>
      <c r="J58" s="40"/>
      <c r="K58" s="18"/>
      <c r="L58" s="18"/>
      <c r="M58" s="18"/>
      <c r="N58" s="18"/>
      <c r="O58" s="18"/>
      <c r="P58" s="146"/>
      <c r="Q58" s="146"/>
      <c r="R58" s="146"/>
      <c r="S58" s="146"/>
      <c r="T58" s="146"/>
      <c r="U58" s="146"/>
      <c r="V58" s="146"/>
      <c r="W58" s="146"/>
      <c r="X58" s="146"/>
      <c r="Y58" s="146"/>
      <c r="Z58" s="146"/>
      <c r="AA58" s="146"/>
      <c r="AB58" s="146"/>
      <c r="AC58" s="146"/>
      <c r="AD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row>
    <row r="59" spans="1:78" s="176" customFormat="1" ht="36.950000000000003" customHeight="1" x14ac:dyDescent="0.2">
      <c r="A59" s="552"/>
      <c r="B59" s="146"/>
      <c r="C59" s="41"/>
      <c r="D59" s="146"/>
      <c r="E59" s="146"/>
      <c r="F59" s="41"/>
      <c r="G59" s="146"/>
      <c r="H59" s="146"/>
      <c r="I59" s="146"/>
      <c r="J59" s="40"/>
      <c r="K59" s="73"/>
      <c r="L59" s="73"/>
      <c r="M59" s="73"/>
      <c r="N59" s="73"/>
      <c r="O59" s="73"/>
      <c r="P59" s="146"/>
      <c r="Q59" s="146"/>
      <c r="R59" s="146"/>
      <c r="S59" s="146"/>
      <c r="T59" s="146"/>
      <c r="U59" s="146"/>
      <c r="V59" s="146"/>
      <c r="W59" s="146"/>
      <c r="X59" s="146"/>
      <c r="Y59" s="146"/>
      <c r="Z59" s="146"/>
      <c r="AA59" s="146"/>
      <c r="AB59" s="146"/>
      <c r="AC59" s="146"/>
      <c r="AD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row>
    <row r="60" spans="1:78" s="176" customFormat="1" ht="36.950000000000003" customHeight="1" x14ac:dyDescent="0.2">
      <c r="A60" s="552"/>
      <c r="B60" s="146"/>
      <c r="C60" s="41"/>
      <c r="D60" s="146"/>
      <c r="E60" s="146"/>
      <c r="F60" s="41"/>
      <c r="G60" s="146"/>
      <c r="H60" s="146"/>
      <c r="I60" s="146"/>
      <c r="J60" s="40"/>
      <c r="K60" s="73"/>
      <c r="L60" s="73"/>
      <c r="M60" s="73" t="b">
        <f>IF(OR(AND(ISNUMBER(E66),E66&gt;=0,E66&lt;=1),E66="DNE"),TRUE,FALSE)</f>
        <v>1</v>
      </c>
      <c r="N60" s="73"/>
      <c r="O60" s="73"/>
      <c r="P60" s="146"/>
      <c r="Q60" s="146"/>
      <c r="R60" s="146"/>
      <c r="S60" s="146"/>
      <c r="T60" s="146"/>
      <c r="U60" s="146"/>
      <c r="V60" s="146"/>
      <c r="W60" s="146"/>
      <c r="X60" s="146"/>
      <c r="Y60" s="146"/>
      <c r="Z60" s="146"/>
      <c r="AA60" s="146"/>
      <c r="AB60" s="146"/>
      <c r="AC60" s="146"/>
      <c r="AD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row>
    <row r="61" spans="1:78" s="176" customFormat="1" ht="57" customHeight="1" x14ac:dyDescent="0.2">
      <c r="A61" s="552"/>
      <c r="B61" s="146"/>
      <c r="C61" s="146"/>
      <c r="D61" s="146"/>
      <c r="E61" s="146"/>
      <c r="F61" s="41"/>
      <c r="G61" s="146"/>
      <c r="H61" s="146"/>
      <c r="I61" s="146"/>
      <c r="J61" s="40"/>
      <c r="K61" s="73"/>
      <c r="L61" s="73"/>
      <c r="M61" s="73"/>
      <c r="N61" s="73"/>
      <c r="O61" s="73" t="s">
        <v>380</v>
      </c>
      <c r="P61" s="146"/>
      <c r="Q61" s="146" t="s">
        <v>381</v>
      </c>
      <c r="R61" s="146" t="s">
        <v>385</v>
      </c>
      <c r="S61" s="146"/>
      <c r="T61" s="146"/>
      <c r="U61" s="146"/>
      <c r="V61" s="146"/>
      <c r="W61" s="146"/>
      <c r="X61" s="146"/>
      <c r="Y61" s="146"/>
      <c r="Z61" s="146"/>
      <c r="AA61" s="146"/>
      <c r="AB61" s="146"/>
      <c r="AC61" s="146"/>
      <c r="AD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row>
    <row r="62" spans="1:78" s="176" customFormat="1" ht="24.95" customHeight="1" x14ac:dyDescent="0.2">
      <c r="A62" s="552"/>
      <c r="B62" s="146"/>
      <c r="C62" s="146"/>
      <c r="D62" s="146"/>
      <c r="E62" s="146"/>
      <c r="F62" s="41"/>
      <c r="G62" s="146"/>
      <c r="H62" s="146"/>
      <c r="I62" s="146"/>
      <c r="J62" s="40"/>
      <c r="K62" s="73"/>
      <c r="L62" s="73"/>
      <c r="M62" s="73"/>
      <c r="N62" s="73"/>
      <c r="O62" s="73"/>
      <c r="P62" s="146"/>
      <c r="Q62" s="146"/>
      <c r="R62" s="146"/>
      <c r="S62" s="146"/>
      <c r="T62" s="146"/>
      <c r="U62" s="146"/>
      <c r="V62" s="146"/>
      <c r="W62" s="146"/>
      <c r="X62" s="146"/>
      <c r="Y62" s="146"/>
      <c r="Z62" s="146"/>
      <c r="AA62" s="146"/>
      <c r="AB62" s="146"/>
      <c r="AC62" s="146"/>
      <c r="AD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row>
    <row r="63" spans="1:78" s="176" customFormat="1" ht="57" customHeight="1" x14ac:dyDescent="0.2">
      <c r="A63" s="552"/>
      <c r="B63" s="146"/>
      <c r="C63" s="227" t="s">
        <v>411</v>
      </c>
      <c r="D63" s="232">
        <v>2012</v>
      </c>
      <c r="E63" s="146"/>
      <c r="F63" s="41"/>
      <c r="G63" s="146"/>
      <c r="H63" s="146"/>
      <c r="I63" s="146"/>
      <c r="J63" s="40"/>
      <c r="K63" s="299" t="s">
        <v>411</v>
      </c>
      <c r="L63" s="228">
        <v>2012</v>
      </c>
      <c r="M63" s="73"/>
      <c r="N63" s="73"/>
      <c r="O63" s="73"/>
      <c r="P63" s="146"/>
      <c r="Q63" s="146"/>
      <c r="R63" s="146"/>
      <c r="S63" s="146"/>
      <c r="T63" s="146"/>
      <c r="U63" s="146"/>
      <c r="V63" s="146"/>
      <c r="W63" s="146"/>
      <c r="X63" s="146"/>
      <c r="Y63" s="146"/>
      <c r="Z63" s="146"/>
      <c r="AA63" s="146"/>
      <c r="AB63" s="146"/>
      <c r="AC63" s="146"/>
      <c r="AD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row>
    <row r="64" spans="1:78" s="176" customFormat="1" ht="57" customHeight="1" x14ac:dyDescent="0.2">
      <c r="A64" s="552"/>
      <c r="B64" s="146"/>
      <c r="C64" s="227" t="str">
        <f>"Population at station in "&amp;D63</f>
        <v>Population at station in 2012</v>
      </c>
      <c r="D64" s="233">
        <v>6139</v>
      </c>
      <c r="E64" s="146"/>
      <c r="F64" s="41"/>
      <c r="G64" s="146"/>
      <c r="H64" s="146"/>
      <c r="I64" s="146"/>
      <c r="J64" s="40"/>
      <c r="K64" s="299" t="str">
        <f>"Population at station in "&amp;L63</f>
        <v>Population at station in 2012</v>
      </c>
      <c r="L64" s="229">
        <v>6139</v>
      </c>
      <c r="M64" s="73"/>
      <c r="N64" s="73"/>
      <c r="O64" s="73"/>
      <c r="P64" s="146"/>
      <c r="Q64" s="146"/>
      <c r="R64" s="146"/>
      <c r="S64" s="146"/>
      <c r="T64" s="146"/>
      <c r="U64" s="146"/>
      <c r="V64" s="146"/>
      <c r="W64" s="146"/>
      <c r="X64" s="146"/>
      <c r="Y64" s="146"/>
      <c r="Z64" s="146"/>
      <c r="AA64" s="146"/>
      <c r="AB64" s="146"/>
      <c r="AC64" s="146"/>
      <c r="AD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row>
    <row r="65" spans="1:78" s="176" customFormat="1" ht="36.950000000000003" customHeight="1" x14ac:dyDescent="0.2">
      <c r="A65" s="552"/>
      <c r="B65" s="211" t="s">
        <v>329</v>
      </c>
      <c r="C65" s="218" t="s">
        <v>377</v>
      </c>
      <c r="D65" s="218" t="str">
        <f>"Peak Occupancy ("&amp;OccupancyYearLoadDefault&amp;")"</f>
        <v>Peak Occupancy (2012)</v>
      </c>
      <c r="E65" s="595" t="str">
        <f>"Peak Occupancy ("&amp;C8&amp;")"</f>
        <v>Peak Occupancy (2012)</v>
      </c>
      <c r="F65" s="596"/>
      <c r="G65" s="597" t="s">
        <v>334</v>
      </c>
      <c r="H65" s="598"/>
      <c r="I65" s="599"/>
      <c r="J65" s="40"/>
      <c r="K65" s="226" t="s">
        <v>329</v>
      </c>
      <c r="L65" s="226" t="s">
        <v>414</v>
      </c>
      <c r="M65" s="205" t="s">
        <v>390</v>
      </c>
      <c r="N65" s="73" t="s">
        <v>383</v>
      </c>
      <c r="O65" s="73" t="s">
        <v>379</v>
      </c>
      <c r="P65" s="146" t="s">
        <v>384</v>
      </c>
      <c r="Q65" s="146" t="s">
        <v>382</v>
      </c>
      <c r="R65" s="146" t="s">
        <v>403</v>
      </c>
      <c r="S65" s="146"/>
      <c r="T65" s="146" t="s">
        <v>378</v>
      </c>
      <c r="U65" s="146" t="s">
        <v>386</v>
      </c>
      <c r="V65" s="146"/>
      <c r="W65" s="146"/>
      <c r="X65" s="146"/>
      <c r="Y65" s="146"/>
      <c r="Z65" s="146"/>
      <c r="AA65" s="146"/>
      <c r="AB65" s="146"/>
      <c r="AC65" s="146"/>
      <c r="AD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row>
    <row r="66" spans="1:78" s="176" customFormat="1" ht="36.950000000000003" customHeight="1" x14ac:dyDescent="0.2">
      <c r="A66" s="552"/>
      <c r="B66" s="212" t="s">
        <v>238</v>
      </c>
      <c r="C66" s="219">
        <v>1</v>
      </c>
      <c r="D66" s="220" t="s">
        <v>331</v>
      </c>
      <c r="E66" s="564" t="str">
        <f t="shared" ref="E66:E71" si="0">IFERROR(IF(D66="DNE","DNE",D66*(LoadDefaultPivot/$D$64)),D66)</f>
        <v>DNE</v>
      </c>
      <c r="F66" s="565"/>
      <c r="G66" s="566" t="str">
        <f>IF(AND(N66=1,O66=1),$V$66,IF(AND(N66=1,P66=1),$V$67,IF(AND(N66=0,Q66=1),$V$67,IF(R66=1,$V$66))))</f>
        <v>é</v>
      </c>
      <c r="H66" s="567"/>
      <c r="I66" s="568"/>
      <c r="J66" s="40"/>
      <c r="K66" s="231" t="s">
        <v>43</v>
      </c>
      <c r="L66" s="206">
        <v>6</v>
      </c>
      <c r="M66" s="214">
        <v>0.86</v>
      </c>
      <c r="N66" s="73">
        <f t="shared" ref="N66:N71" si="1">IF($E66="DNE",0,1)</f>
        <v>0</v>
      </c>
      <c r="O66" s="73">
        <f t="shared" ref="O66:O71" si="2">IF(ISNUMBER($E66),IF($E66&lt;$T$66,0,1),2)</f>
        <v>2</v>
      </c>
      <c r="P66" s="146">
        <f>IF(O66=1,0,1)</f>
        <v>1</v>
      </c>
      <c r="Q66" s="146">
        <f>IF(N66=0,IF(SUMPRODUCT($N$66:N66,$P$66:P66)&gt;0,1,0),0)</f>
        <v>0</v>
      </c>
      <c r="R66" s="146">
        <f>IF(N66=1,0,IF(SUM($N$66:N66)=0,1,0))+IF(COUNTIF($O$66:O66,1),1,0)</f>
        <v>1</v>
      </c>
      <c r="S66" s="146"/>
      <c r="T66" s="146">
        <f>Calculations!I14</f>
        <v>0.85</v>
      </c>
      <c r="U66" s="146" t="str">
        <f>IF(AND(N66=1,O66=1),"up",IF(AND(N66=1,P66=1),"down",IF(AND(N66=0,Q66=1),"down",IF(R66=1,"up","down"))))</f>
        <v>up</v>
      </c>
      <c r="V66" s="591" t="s">
        <v>335</v>
      </c>
      <c r="W66" s="592"/>
      <c r="X66" s="593"/>
      <c r="Y66" s="146"/>
      <c r="Z66" s="146"/>
      <c r="AA66" s="146"/>
      <c r="AB66" s="146"/>
      <c r="AC66" s="146"/>
      <c r="AD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row>
    <row r="67" spans="1:78" s="176" customFormat="1" ht="36.950000000000003" customHeight="1" x14ac:dyDescent="0.2">
      <c r="A67" s="552"/>
      <c r="B67" s="212" t="s">
        <v>4</v>
      </c>
      <c r="C67" s="219">
        <v>2</v>
      </c>
      <c r="D67" s="220">
        <v>0.91</v>
      </c>
      <c r="E67" s="564">
        <f t="shared" si="0"/>
        <v>0.91</v>
      </c>
      <c r="F67" s="565"/>
      <c r="G67" s="566" t="str">
        <f>IF(AND(N67=1,O67=1),$V$66,IF(AND(N67=1,P67=1),$V$67,IF(AND(N67=0,Q67=1),$V$67,IF(R67=1,$V$66,$V$67))))</f>
        <v>é</v>
      </c>
      <c r="H67" s="567"/>
      <c r="I67" s="568"/>
      <c r="J67" s="40"/>
      <c r="K67" s="231" t="s">
        <v>44</v>
      </c>
      <c r="L67" s="206">
        <v>4</v>
      </c>
      <c r="M67" s="214" t="s">
        <v>331</v>
      </c>
      <c r="N67" s="73">
        <f t="shared" si="1"/>
        <v>1</v>
      </c>
      <c r="O67" s="73">
        <f t="shared" si="2"/>
        <v>1</v>
      </c>
      <c r="P67" s="146">
        <f t="shared" ref="P67:P71" si="3">IF(O67=1,0,1)</f>
        <v>0</v>
      </c>
      <c r="Q67" s="146">
        <f>IF(N67=0,IF(SUMPRODUCT($N$66:N67,$P$66:P67)&gt;0,1,0),0)</f>
        <v>0</v>
      </c>
      <c r="R67" s="146">
        <f>IF(N67=1,0,IF(SUM($N$66:N67)=0,1,0))+IF(COUNTIF($O$66:O67,1),1,0)</f>
        <v>1</v>
      </c>
      <c r="S67" s="146"/>
      <c r="T67" s="146"/>
      <c r="U67" s="146" t="str">
        <f t="shared" ref="U67:U71" si="4">IF(AND(N67=1,O67=1),"up",IF(AND(N67=1,P67=1),"down",IF(AND(N67=0,Q67=1),"down",IF(R67=1,"up","down"))))</f>
        <v>up</v>
      </c>
      <c r="V67" s="590" t="s">
        <v>336</v>
      </c>
      <c r="W67" s="590"/>
      <c r="X67" s="590"/>
      <c r="Y67" s="146"/>
      <c r="Z67" s="146"/>
      <c r="AA67" s="146"/>
      <c r="AB67" s="146"/>
      <c r="AC67" s="146"/>
      <c r="AD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row>
    <row r="68" spans="1:78" s="176" customFormat="1" ht="36.950000000000003" customHeight="1" x14ac:dyDescent="0.2">
      <c r="A68" s="552"/>
      <c r="B68" s="212" t="s">
        <v>332</v>
      </c>
      <c r="C68" s="219">
        <v>3</v>
      </c>
      <c r="D68" s="220" t="s">
        <v>331</v>
      </c>
      <c r="E68" s="564" t="str">
        <f t="shared" si="0"/>
        <v>DNE</v>
      </c>
      <c r="F68" s="565"/>
      <c r="G68" s="566" t="str">
        <f>IF(AND(N68=1,O68=1),$V$66,IF(AND(N68=1,P68=1),$V$67,IF(AND(N68=0,Q68=1),$V$67,IF(R68=1,$V$66,$V$67))))</f>
        <v>é</v>
      </c>
      <c r="H68" s="567"/>
      <c r="I68" s="568"/>
      <c r="J68" s="40"/>
      <c r="K68" s="231" t="s">
        <v>3</v>
      </c>
      <c r="L68" s="206">
        <v>5</v>
      </c>
      <c r="M68" s="214" t="s">
        <v>331</v>
      </c>
      <c r="N68" s="73">
        <f t="shared" si="1"/>
        <v>0</v>
      </c>
      <c r="O68" s="73">
        <f t="shared" si="2"/>
        <v>2</v>
      </c>
      <c r="P68" s="146">
        <f t="shared" si="3"/>
        <v>1</v>
      </c>
      <c r="Q68" s="146">
        <f>IF(N68=0,IF(SUMPRODUCT($N$66:N68,$P$66:P68)&gt;0,1,0),0)</f>
        <v>0</v>
      </c>
      <c r="R68" s="146">
        <f>IF(N68=1,0,IF(SUM($N$66:N68)=0,1,0))+IF(COUNTIF($O$66:O68,1),1,0)</f>
        <v>1</v>
      </c>
      <c r="S68" s="146"/>
      <c r="T68" s="146"/>
      <c r="U68" s="146" t="str">
        <f t="shared" si="4"/>
        <v>up</v>
      </c>
      <c r="V68" s="146"/>
      <c r="W68" s="146"/>
      <c r="X68" s="146"/>
      <c r="Y68" s="146"/>
      <c r="Z68" s="146"/>
      <c r="AA68" s="146"/>
      <c r="AB68" s="146"/>
      <c r="AC68" s="146"/>
      <c r="AD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row>
    <row r="69" spans="1:78" s="176" customFormat="1" ht="36.950000000000003" customHeight="1" x14ac:dyDescent="0.2">
      <c r="A69" s="552"/>
      <c r="B69" s="212" t="s">
        <v>44</v>
      </c>
      <c r="C69" s="219">
        <v>4</v>
      </c>
      <c r="D69" s="220" t="s">
        <v>331</v>
      </c>
      <c r="E69" s="564" t="str">
        <f t="shared" si="0"/>
        <v>DNE</v>
      </c>
      <c r="F69" s="565"/>
      <c r="G69" s="566" t="str">
        <f>IF(AND(N69=1,O69=1),$V$66,IF(AND(N69=1,P69=1),$V$67,IF(AND(N69=0,Q69=1),$V$67,IF(R69=1,$V$66,$V$67))))</f>
        <v>é</v>
      </c>
      <c r="H69" s="567"/>
      <c r="I69" s="568"/>
      <c r="J69" s="40"/>
      <c r="K69" s="231" t="s">
        <v>4</v>
      </c>
      <c r="L69" s="206">
        <v>2</v>
      </c>
      <c r="M69" s="214">
        <v>0.91</v>
      </c>
      <c r="N69" s="73">
        <f t="shared" si="1"/>
        <v>0</v>
      </c>
      <c r="O69" s="73">
        <f t="shared" si="2"/>
        <v>2</v>
      </c>
      <c r="P69" s="146">
        <f t="shared" si="3"/>
        <v>1</v>
      </c>
      <c r="Q69" s="146">
        <f>IF(N69=0,IF(SUMPRODUCT($N$66:N69,$P$66:P69)&gt;0,1,0),0)</f>
        <v>0</v>
      </c>
      <c r="R69" s="146">
        <f>IF(N69=1,0,IF(SUM($N$66:N69)=0,1,0))+IF(COUNTIF($O$66:O69,1),1,0)</f>
        <v>1</v>
      </c>
      <c r="S69" s="146"/>
      <c r="T69" s="146"/>
      <c r="U69" s="146" t="str">
        <f t="shared" si="4"/>
        <v>up</v>
      </c>
      <c r="V69" s="146"/>
      <c r="W69" s="146"/>
      <c r="X69" s="146"/>
      <c r="Y69" s="146"/>
      <c r="Z69" s="146"/>
      <c r="AA69" s="146"/>
      <c r="AB69" s="146"/>
      <c r="AC69" s="146"/>
      <c r="AD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row>
    <row r="70" spans="1:78" s="176" customFormat="1" ht="36.950000000000003" customHeight="1" x14ac:dyDescent="0.2">
      <c r="A70" s="552"/>
      <c r="B70" s="212" t="s">
        <v>3</v>
      </c>
      <c r="C70" s="219">
        <v>5</v>
      </c>
      <c r="D70" s="220" t="s">
        <v>331</v>
      </c>
      <c r="E70" s="564" t="str">
        <f t="shared" si="0"/>
        <v>DNE</v>
      </c>
      <c r="F70" s="565"/>
      <c r="G70" s="566" t="str">
        <f>IF(AND(N70=1,O70=1),$V$66,IF(AND(N70=1,P70=1),$V$67,IF(AND(N70=0,Q70=1),$V$67,IF(R70=1,$V$66,$V$67))))</f>
        <v>é</v>
      </c>
      <c r="H70" s="567"/>
      <c r="I70" s="568"/>
      <c r="J70" s="40"/>
      <c r="K70" s="231" t="s">
        <v>332</v>
      </c>
      <c r="L70" s="206">
        <v>3</v>
      </c>
      <c r="M70" s="214" t="s">
        <v>331</v>
      </c>
      <c r="N70" s="73">
        <f t="shared" si="1"/>
        <v>0</v>
      </c>
      <c r="O70" s="73">
        <f t="shared" si="2"/>
        <v>2</v>
      </c>
      <c r="P70" s="146">
        <f t="shared" si="3"/>
        <v>1</v>
      </c>
      <c r="Q70" s="146">
        <f>IF(N70=0,IF(SUMPRODUCT($N$66:N70,$P$66:P70)&gt;0,1,0),0)</f>
        <v>0</v>
      </c>
      <c r="R70" s="146">
        <f>IF(N70=1,0,IF(SUM($N$66:N70)=0,1,0))+IF(COUNTIF($O$66:O70,1),1,0)</f>
        <v>1</v>
      </c>
      <c r="S70" s="146"/>
      <c r="T70" s="146"/>
      <c r="U70" s="146" t="str">
        <f t="shared" si="4"/>
        <v>up</v>
      </c>
      <c r="V70" s="146"/>
      <c r="W70" s="146"/>
      <c r="X70" s="146"/>
      <c r="Y70" s="146"/>
      <c r="Z70" s="146"/>
      <c r="AA70" s="146"/>
      <c r="AB70" s="146"/>
      <c r="AC70" s="146"/>
      <c r="AD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row>
    <row r="71" spans="1:78" s="176" customFormat="1" ht="36.950000000000003" customHeight="1" x14ac:dyDescent="0.2">
      <c r="A71" s="552"/>
      <c r="B71" s="212" t="s">
        <v>43</v>
      </c>
      <c r="C71" s="219">
        <v>6</v>
      </c>
      <c r="D71" s="220">
        <v>0.86</v>
      </c>
      <c r="E71" s="564">
        <f t="shared" si="0"/>
        <v>0.86</v>
      </c>
      <c r="F71" s="565"/>
      <c r="G71" s="566" t="str">
        <f>IF(AND(N71=1,O71=1),$V$66,IF(AND(N71=1,P71=1),$V$67,IF(AND(N71=0,Q71=1),$V$67,IF(R71=1,$V$66,$V$67))))</f>
        <v>é</v>
      </c>
      <c r="H71" s="567"/>
      <c r="I71" s="568"/>
      <c r="J71" s="40"/>
      <c r="K71" s="231" t="s">
        <v>238</v>
      </c>
      <c r="L71" s="206">
        <v>1</v>
      </c>
      <c r="M71" s="214" t="s">
        <v>331</v>
      </c>
      <c r="N71" s="73">
        <f t="shared" si="1"/>
        <v>1</v>
      </c>
      <c r="O71" s="73">
        <f t="shared" si="2"/>
        <v>1</v>
      </c>
      <c r="P71" s="146">
        <f t="shared" si="3"/>
        <v>0</v>
      </c>
      <c r="Q71" s="146">
        <f>IF(N71=0,IF(SUMPRODUCT($N$66:N71,$P$66:P71)&gt;0,1,0),0)</f>
        <v>0</v>
      </c>
      <c r="R71" s="146">
        <f>IF(N71=1,0,IF(SUM($N$66:N71)=0,1,0))+IF(COUNTIF($O$66:O71,1),1,0)</f>
        <v>1</v>
      </c>
      <c r="S71" s="146"/>
      <c r="T71" s="146"/>
      <c r="U71" s="146" t="str">
        <f t="shared" si="4"/>
        <v>up</v>
      </c>
      <c r="V71" s="146"/>
      <c r="W71" s="146"/>
      <c r="X71" s="146"/>
      <c r="Y71" s="146"/>
      <c r="Z71" s="146"/>
      <c r="AA71" s="146"/>
      <c r="AB71" s="146"/>
      <c r="AC71" s="146"/>
      <c r="AD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row>
    <row r="72" spans="1:78" s="176" customFormat="1" ht="36.950000000000003" customHeight="1" x14ac:dyDescent="0.2">
      <c r="A72" s="552"/>
      <c r="B72" s="561" t="str">
        <f>IF(ExcessCapacity=0,"Excess capacity available at existing preferred bicycle parking facilities. Increasing bicycle parking will not increase ridership.","")</f>
        <v/>
      </c>
      <c r="C72" s="562"/>
      <c r="D72" s="562"/>
      <c r="E72" s="562"/>
      <c r="F72" s="562"/>
      <c r="G72" s="562"/>
      <c r="H72" s="562"/>
      <c r="I72" s="563"/>
      <c r="J72" s="40"/>
      <c r="M72" s="223"/>
      <c r="N72" s="73"/>
      <c r="O72" s="73"/>
      <c r="P72" s="146"/>
      <c r="Q72" s="146"/>
      <c r="R72" s="146"/>
      <c r="S72" s="146"/>
      <c r="T72" s="146"/>
      <c r="U72" s="146"/>
      <c r="V72" s="146"/>
      <c r="W72" s="146"/>
      <c r="X72" s="146"/>
      <c r="Y72" s="146"/>
      <c r="Z72" s="146"/>
      <c r="AA72" s="146"/>
      <c r="AB72" s="146"/>
      <c r="AC72" s="146"/>
      <c r="AD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row>
    <row r="73" spans="1:78" s="35" customFormat="1" ht="36.950000000000003" customHeight="1" x14ac:dyDescent="0.2">
      <c r="A73" s="552"/>
      <c r="B73" s="315"/>
      <c r="C73" s="315"/>
      <c r="D73" s="315"/>
      <c r="E73" s="316"/>
      <c r="F73" s="317"/>
      <c r="G73" s="316"/>
      <c r="H73" s="316"/>
      <c r="I73" s="316"/>
      <c r="J73" s="40"/>
      <c r="K73" s="73"/>
      <c r="L73" s="36"/>
      <c r="M73" s="73"/>
      <c r="N73" s="73"/>
      <c r="O73" s="73"/>
      <c r="P73" s="146"/>
      <c r="Q73" s="146"/>
      <c r="R73" s="146"/>
      <c r="S73" s="146"/>
      <c r="T73" s="146"/>
      <c r="U73" s="146"/>
      <c r="V73" s="146"/>
      <c r="W73" s="146"/>
      <c r="X73" s="146"/>
      <c r="Y73" s="146"/>
      <c r="Z73" s="146"/>
      <c r="AA73" s="146"/>
      <c r="AB73" s="146"/>
      <c r="AC73" s="146"/>
      <c r="AD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row>
    <row r="74" spans="1:78" s="72" customFormat="1" ht="35.1" customHeight="1" x14ac:dyDescent="0.2">
      <c r="A74" s="552"/>
      <c r="B74" s="68"/>
      <c r="C74" s="68"/>
      <c r="D74" s="68"/>
      <c r="E74" s="146"/>
      <c r="F74" s="557" t="s">
        <v>173</v>
      </c>
      <c r="G74" s="558"/>
      <c r="H74" s="146"/>
      <c r="I74" s="146"/>
      <c r="J74" s="40"/>
      <c r="K74" s="73"/>
      <c r="L74" s="221" t="s">
        <v>409</v>
      </c>
      <c r="M74" s="222">
        <f t="array" ref="M74">SUM(IF(U66:U71="up",1,0))</f>
        <v>6</v>
      </c>
      <c r="N74" s="73"/>
      <c r="O74" s="73"/>
      <c r="P74" s="146"/>
      <c r="Q74" s="146"/>
      <c r="R74" s="146"/>
      <c r="S74" s="146"/>
      <c r="T74" s="146"/>
      <c r="U74" s="146"/>
      <c r="V74" s="146"/>
      <c r="W74" s="146"/>
      <c r="X74" s="146"/>
      <c r="Y74" s="146"/>
      <c r="Z74" s="146"/>
      <c r="AA74" s="146"/>
      <c r="AB74" s="146"/>
      <c r="AC74" s="146"/>
      <c r="AD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row>
    <row r="75" spans="1:78" s="72" customFormat="1" ht="24.75" customHeight="1" x14ac:dyDescent="0.2">
      <c r="A75" s="552"/>
      <c r="B75" s="68"/>
      <c r="C75" s="68"/>
      <c r="D75" s="68"/>
      <c r="E75" s="146"/>
      <c r="F75" s="574" t="s">
        <v>174</v>
      </c>
      <c r="G75" s="574" t="s">
        <v>7</v>
      </c>
      <c r="H75" s="146"/>
      <c r="I75" s="146"/>
      <c r="J75" s="40"/>
      <c r="K75" s="73"/>
      <c r="L75" s="73"/>
      <c r="M75" s="73"/>
      <c r="N75" s="73"/>
      <c r="O75" s="73"/>
      <c r="P75" s="146"/>
      <c r="Q75" s="146"/>
      <c r="R75" s="146"/>
      <c r="S75" s="146"/>
      <c r="T75" s="146"/>
      <c r="U75" s="146"/>
      <c r="V75" s="146"/>
      <c r="W75" s="146"/>
      <c r="X75" s="146"/>
      <c r="Y75" s="146"/>
      <c r="Z75" s="146"/>
      <c r="AA75" s="146"/>
      <c r="AB75" s="146"/>
      <c r="AC75" s="146"/>
      <c r="AD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row>
    <row r="76" spans="1:78" s="72" customFormat="1" ht="24.75" customHeight="1" x14ac:dyDescent="0.2">
      <c r="A76" s="552"/>
      <c r="B76" s="557" t="s">
        <v>205</v>
      </c>
      <c r="C76" s="558"/>
      <c r="D76" s="260" t="s">
        <v>204</v>
      </c>
      <c r="E76" s="96" t="s">
        <v>193</v>
      </c>
      <c r="F76" s="575"/>
      <c r="G76" s="575"/>
      <c r="H76" s="146"/>
      <c r="I76" s="146"/>
      <c r="J76" s="40"/>
      <c r="K76" s="73"/>
      <c r="L76" s="73"/>
      <c r="M76" s="73"/>
      <c r="N76" s="73"/>
      <c r="O76" s="73"/>
      <c r="P76" s="146"/>
      <c r="Q76" s="146"/>
      <c r="R76" s="146"/>
      <c r="S76" s="146"/>
      <c r="T76" s="146"/>
      <c r="U76" s="146"/>
      <c r="V76" s="146"/>
      <c r="W76" s="146"/>
      <c r="X76" s="146"/>
      <c r="Y76" s="146"/>
      <c r="Z76" s="146"/>
      <c r="AA76" s="146"/>
      <c r="AB76" s="146"/>
      <c r="AC76" s="146"/>
      <c r="AD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row>
    <row r="77" spans="1:78" s="35" customFormat="1" ht="23.1" customHeight="1" x14ac:dyDescent="0.2">
      <c r="A77" s="552"/>
      <c r="B77" s="137" t="s">
        <v>202</v>
      </c>
      <c r="C77" s="171"/>
      <c r="D77" s="115">
        <f>SUM(D78:D81)</f>
        <v>0</v>
      </c>
      <c r="E77" s="115">
        <f>SUM(E78:E81)</f>
        <v>0</v>
      </c>
      <c r="F77" s="101">
        <f>Calculations!D34</f>
        <v>0</v>
      </c>
      <c r="G77" s="101">
        <f>Calculations!E34</f>
        <v>0</v>
      </c>
      <c r="H77" s="146"/>
      <c r="I77" s="146"/>
      <c r="J77" s="40"/>
      <c r="K77" s="36">
        <v>250</v>
      </c>
      <c r="L77" s="36">
        <v>275</v>
      </c>
      <c r="M77" s="36"/>
      <c r="N77" s="36"/>
      <c r="O77" s="36"/>
      <c r="P77" s="146"/>
      <c r="Q77" s="146"/>
      <c r="R77" s="146"/>
      <c r="S77" s="146"/>
      <c r="T77" s="146"/>
      <c r="U77" s="146"/>
      <c r="V77" s="146"/>
      <c r="W77" s="146"/>
      <c r="X77" s="146"/>
      <c r="Y77" s="146"/>
      <c r="Z77" s="146"/>
      <c r="AA77" s="146"/>
      <c r="AB77" s="146"/>
      <c r="AC77" s="146"/>
      <c r="AD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row>
    <row r="78" spans="1:78" s="72" customFormat="1" ht="23.1" customHeight="1" x14ac:dyDescent="0.2">
      <c r="A78" s="552"/>
      <c r="B78" s="113" t="s">
        <v>198</v>
      </c>
      <c r="C78" s="114"/>
      <c r="D78" s="153">
        <v>0</v>
      </c>
      <c r="E78" s="115">
        <f>D78*2</f>
        <v>0</v>
      </c>
      <c r="F78" s="101">
        <f>Calculations!D30</f>
        <v>0</v>
      </c>
      <c r="G78" s="101">
        <f>Calculations!E30</f>
        <v>0</v>
      </c>
      <c r="H78" s="146"/>
      <c r="I78" s="146"/>
      <c r="J78" s="40"/>
      <c r="K78" s="73"/>
      <c r="L78" s="73"/>
      <c r="M78" s="73"/>
      <c r="N78" s="73"/>
      <c r="O78" s="73"/>
      <c r="P78" s="146"/>
      <c r="Q78" s="146"/>
      <c r="R78" s="146"/>
      <c r="S78" s="146"/>
      <c r="T78" s="146"/>
      <c r="U78" s="146"/>
      <c r="V78" s="146"/>
      <c r="W78" s="146"/>
      <c r="X78" s="146"/>
      <c r="Y78" s="146"/>
      <c r="Z78" s="146"/>
      <c r="AA78" s="146"/>
      <c r="AB78" s="146"/>
      <c r="AC78" s="146"/>
      <c r="AD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row>
    <row r="79" spans="1:78" s="72" customFormat="1" ht="23.1" customHeight="1" x14ac:dyDescent="0.2">
      <c r="A79" s="552"/>
      <c r="B79" s="113" t="s">
        <v>199</v>
      </c>
      <c r="C79" s="114"/>
      <c r="D79" s="153">
        <v>0</v>
      </c>
      <c r="E79" s="115">
        <f>D79*7</f>
        <v>0</v>
      </c>
      <c r="F79" s="101">
        <f>Calculations!D31</f>
        <v>0</v>
      </c>
      <c r="G79" s="101">
        <f>Calculations!E31</f>
        <v>0</v>
      </c>
      <c r="H79" s="146"/>
      <c r="I79" s="146"/>
      <c r="J79" s="40"/>
      <c r="K79" s="73"/>
      <c r="L79" s="73"/>
      <c r="M79" s="73"/>
      <c r="N79" s="73"/>
      <c r="O79" s="73"/>
      <c r="P79" s="146"/>
      <c r="Q79" s="146"/>
      <c r="R79" s="146"/>
      <c r="S79" s="146"/>
      <c r="T79" s="146"/>
      <c r="U79" s="146"/>
      <c r="V79" s="146"/>
      <c r="W79" s="146"/>
      <c r="X79" s="146"/>
      <c r="Y79" s="146"/>
      <c r="Z79" s="146"/>
      <c r="AA79" s="146"/>
      <c r="AB79" s="146"/>
      <c r="AC79" s="146"/>
      <c r="AD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row>
    <row r="80" spans="1:78" s="72" customFormat="1" ht="23.1" customHeight="1" x14ac:dyDescent="0.2">
      <c r="A80" s="552"/>
      <c r="B80" s="113" t="s">
        <v>200</v>
      </c>
      <c r="C80" s="114"/>
      <c r="D80" s="153">
        <v>0</v>
      </c>
      <c r="E80" s="115">
        <f>D80*40</f>
        <v>0</v>
      </c>
      <c r="F80" s="101">
        <f>Calculations!D32</f>
        <v>0</v>
      </c>
      <c r="G80" s="101">
        <f>Calculations!E32</f>
        <v>0</v>
      </c>
      <c r="H80" s="146"/>
      <c r="I80" s="146"/>
      <c r="J80" s="40"/>
      <c r="K80" s="73"/>
      <c r="L80" s="73"/>
      <c r="M80" s="73"/>
      <c r="N80" s="73"/>
      <c r="O80" s="73"/>
      <c r="P80" s="146"/>
      <c r="Q80" s="146"/>
      <c r="R80" s="146"/>
      <c r="S80" s="146"/>
      <c r="T80" s="146"/>
      <c r="U80" s="146"/>
      <c r="V80" s="146"/>
      <c r="W80" s="146"/>
      <c r="X80" s="146"/>
      <c r="Y80" s="146"/>
      <c r="Z80" s="146"/>
      <c r="AA80" s="146"/>
      <c r="AB80" s="146"/>
      <c r="AC80" s="146"/>
      <c r="AD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row>
    <row r="81" spans="1:78" s="72" customFormat="1" ht="23.1" customHeight="1" x14ac:dyDescent="0.2">
      <c r="A81" s="552"/>
      <c r="B81" s="113" t="s">
        <v>201</v>
      </c>
      <c r="C81" s="114"/>
      <c r="D81" s="153">
        <v>0</v>
      </c>
      <c r="E81" s="115">
        <f>D81*40</f>
        <v>0</v>
      </c>
      <c r="F81" s="101">
        <f>Calculations!D33</f>
        <v>0</v>
      </c>
      <c r="G81" s="101">
        <f>Calculations!E33</f>
        <v>0</v>
      </c>
      <c r="H81" s="146"/>
      <c r="I81" s="146"/>
      <c r="J81" s="40"/>
      <c r="K81" s="73"/>
      <c r="L81" s="73"/>
      <c r="M81" s="73"/>
      <c r="N81" s="73"/>
      <c r="O81" s="73"/>
      <c r="P81" s="146"/>
      <c r="Q81" s="146"/>
      <c r="R81" s="146"/>
      <c r="S81" s="146"/>
      <c r="T81" s="146"/>
      <c r="U81" s="146"/>
      <c r="V81" s="146"/>
      <c r="W81" s="146"/>
      <c r="X81" s="146"/>
      <c r="Y81" s="146"/>
      <c r="Z81" s="146"/>
      <c r="AA81" s="146"/>
      <c r="AB81" s="146"/>
      <c r="AC81" s="146"/>
      <c r="AD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row>
    <row r="82" spans="1:78" s="35" customFormat="1" ht="23.1" customHeight="1" x14ac:dyDescent="0.2">
      <c r="A82" s="552"/>
      <c r="B82" s="137" t="s">
        <v>203</v>
      </c>
      <c r="C82" s="138"/>
      <c r="D82" s="115">
        <f>SUM(D83:D86)</f>
        <v>30</v>
      </c>
      <c r="E82" s="115">
        <f>SUM(E83:E86)</f>
        <v>60</v>
      </c>
      <c r="F82" s="101">
        <f>Calculations!D29</f>
        <v>0</v>
      </c>
      <c r="G82" s="101">
        <f>Calculations!E29</f>
        <v>0</v>
      </c>
      <c r="H82" s="146"/>
      <c r="I82" s="146"/>
      <c r="J82" s="40"/>
      <c r="K82" s="36">
        <v>100</v>
      </c>
      <c r="L82" s="36"/>
      <c r="M82" s="36"/>
      <c r="N82" s="36"/>
      <c r="O82" s="36"/>
      <c r="P82" s="146"/>
      <c r="Q82" s="146"/>
      <c r="R82" s="146"/>
      <c r="S82" s="146"/>
      <c r="T82" s="146"/>
      <c r="U82" s="146"/>
      <c r="V82" s="146"/>
      <c r="W82" s="146"/>
      <c r="X82" s="146"/>
      <c r="Y82" s="146"/>
      <c r="Z82" s="146"/>
      <c r="AA82" s="146"/>
      <c r="AB82" s="146"/>
      <c r="AC82" s="146"/>
      <c r="AD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c r="BV82" s="146"/>
      <c r="BW82" s="146"/>
      <c r="BX82" s="146"/>
      <c r="BY82" s="146"/>
      <c r="BZ82" s="146"/>
    </row>
    <row r="83" spans="1:78" s="72" customFormat="1" ht="23.1" customHeight="1" x14ac:dyDescent="0.2">
      <c r="A83" s="552"/>
      <c r="B83" s="113" t="s">
        <v>198</v>
      </c>
      <c r="C83" s="114"/>
      <c r="D83" s="153">
        <v>30</v>
      </c>
      <c r="E83" s="115">
        <f>D83*2</f>
        <v>60</v>
      </c>
      <c r="F83" s="101">
        <f>Calculations!D35</f>
        <v>12000</v>
      </c>
      <c r="G83" s="101">
        <f>Calculations!E35</f>
        <v>0</v>
      </c>
      <c r="H83" s="146"/>
      <c r="I83" s="146"/>
      <c r="J83" s="40"/>
      <c r="K83" s="73"/>
      <c r="L83" s="73"/>
      <c r="M83" s="73"/>
      <c r="N83" s="73"/>
      <c r="O83" s="73"/>
      <c r="P83" s="146"/>
      <c r="Q83" s="146"/>
      <c r="R83" s="146"/>
      <c r="S83" s="146"/>
      <c r="T83" s="146"/>
      <c r="U83" s="146"/>
      <c r="V83" s="146"/>
      <c r="W83" s="146"/>
      <c r="X83" s="146"/>
      <c r="Y83" s="146"/>
      <c r="Z83" s="146"/>
      <c r="AA83" s="146"/>
      <c r="AB83" s="146"/>
      <c r="AC83" s="146"/>
      <c r="AD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c r="BV83" s="146"/>
      <c r="BW83" s="146"/>
      <c r="BX83" s="146"/>
      <c r="BY83" s="146"/>
      <c r="BZ83" s="146"/>
    </row>
    <row r="84" spans="1:78" s="72" customFormat="1" ht="23.1" customHeight="1" x14ac:dyDescent="0.2">
      <c r="A84" s="552"/>
      <c r="B84" s="113" t="s">
        <v>199</v>
      </c>
      <c r="C84" s="114"/>
      <c r="D84" s="153">
        <v>0</v>
      </c>
      <c r="E84" s="115">
        <f>D84*7</f>
        <v>0</v>
      </c>
      <c r="F84" s="101">
        <f>Calculations!D36</f>
        <v>0</v>
      </c>
      <c r="G84" s="101">
        <f>Calculations!E36</f>
        <v>0</v>
      </c>
      <c r="H84" s="146"/>
      <c r="I84" s="146"/>
      <c r="J84" s="40"/>
      <c r="K84" s="73"/>
      <c r="L84" s="73"/>
      <c r="M84" s="73"/>
      <c r="N84" s="73"/>
      <c r="O84" s="73"/>
      <c r="P84" s="146"/>
      <c r="Q84" s="146"/>
      <c r="R84" s="146"/>
      <c r="S84" s="146"/>
      <c r="T84" s="146"/>
      <c r="U84" s="146"/>
      <c r="V84" s="146"/>
      <c r="W84" s="146"/>
      <c r="X84" s="146"/>
      <c r="Y84" s="146"/>
      <c r="Z84" s="146"/>
      <c r="AA84" s="146"/>
      <c r="AB84" s="146"/>
      <c r="AC84" s="146"/>
      <c r="AD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c r="BV84" s="146"/>
      <c r="BW84" s="146"/>
      <c r="BX84" s="146"/>
      <c r="BY84" s="146"/>
      <c r="BZ84" s="146"/>
    </row>
    <row r="85" spans="1:78" s="72" customFormat="1" ht="23.1" customHeight="1" x14ac:dyDescent="0.2">
      <c r="A85" s="552"/>
      <c r="B85" s="113" t="s">
        <v>200</v>
      </c>
      <c r="C85" s="114"/>
      <c r="D85" s="153">
        <v>0</v>
      </c>
      <c r="E85" s="115">
        <f>D85*40</f>
        <v>0</v>
      </c>
      <c r="F85" s="101">
        <f>Calculations!D37</f>
        <v>0</v>
      </c>
      <c r="G85" s="101">
        <f>Calculations!E37</f>
        <v>0</v>
      </c>
      <c r="H85" s="146"/>
      <c r="I85" s="146"/>
      <c r="J85" s="40"/>
      <c r="K85" s="73"/>
      <c r="L85" s="73"/>
      <c r="M85" s="73"/>
      <c r="N85" s="73"/>
      <c r="O85" s="73"/>
      <c r="P85" s="146"/>
      <c r="Q85" s="146"/>
      <c r="R85" s="146"/>
      <c r="S85" s="146"/>
      <c r="T85" s="146"/>
      <c r="U85" s="146"/>
      <c r="V85" s="146"/>
      <c r="W85" s="146"/>
      <c r="X85" s="146"/>
      <c r="Y85" s="146"/>
      <c r="Z85" s="146"/>
      <c r="AA85" s="146"/>
      <c r="AB85" s="146"/>
      <c r="AC85" s="146"/>
      <c r="AD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row>
    <row r="86" spans="1:78" s="72" customFormat="1" ht="23.1" customHeight="1" x14ac:dyDescent="0.2">
      <c r="A86" s="552"/>
      <c r="B86" s="113" t="s">
        <v>201</v>
      </c>
      <c r="C86" s="114"/>
      <c r="D86" s="153">
        <v>0</v>
      </c>
      <c r="E86" s="115">
        <f>D86*40</f>
        <v>0</v>
      </c>
      <c r="F86" s="101">
        <f>Calculations!D38</f>
        <v>0</v>
      </c>
      <c r="G86" s="101">
        <f>Calculations!E38</f>
        <v>0</v>
      </c>
      <c r="H86" s="146"/>
      <c r="I86" s="146"/>
      <c r="J86" s="40"/>
      <c r="K86" s="73"/>
      <c r="L86" s="73"/>
      <c r="M86" s="73"/>
      <c r="N86" s="73"/>
      <c r="O86" s="73"/>
      <c r="P86" s="146"/>
      <c r="Q86" s="146"/>
      <c r="R86" s="146"/>
      <c r="S86" s="146"/>
      <c r="T86" s="146"/>
      <c r="U86" s="146"/>
      <c r="V86" s="146"/>
      <c r="W86" s="146"/>
      <c r="X86" s="146"/>
      <c r="Y86" s="146"/>
      <c r="Z86" s="146"/>
      <c r="AA86" s="146"/>
      <c r="AB86" s="146"/>
      <c r="AC86" s="146"/>
      <c r="AD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c r="BI86" s="146"/>
      <c r="BJ86" s="146"/>
      <c r="BK86" s="146"/>
      <c r="BL86" s="146"/>
      <c r="BM86" s="146"/>
      <c r="BN86" s="146"/>
      <c r="BO86" s="146"/>
      <c r="BP86" s="146"/>
      <c r="BQ86" s="146"/>
      <c r="BR86" s="146"/>
      <c r="BS86" s="146"/>
      <c r="BT86" s="146"/>
      <c r="BU86" s="146"/>
      <c r="BV86" s="146"/>
      <c r="BW86" s="146"/>
      <c r="BX86" s="146"/>
      <c r="BY86" s="146"/>
      <c r="BZ86" s="146"/>
    </row>
    <row r="87" spans="1:78" s="35" customFormat="1" ht="23.1" customHeight="1" x14ac:dyDescent="0.2">
      <c r="A87" s="552"/>
      <c r="B87" s="137" t="s">
        <v>206</v>
      </c>
      <c r="C87" s="114"/>
      <c r="D87" s="154">
        <v>0</v>
      </c>
      <c r="E87" s="115">
        <f>D87*2</f>
        <v>0</v>
      </c>
      <c r="F87" s="101">
        <f>Calculations!D39</f>
        <v>0</v>
      </c>
      <c r="G87" s="101">
        <f>Calculations!E39</f>
        <v>0</v>
      </c>
      <c r="H87" s="146"/>
      <c r="I87" s="146"/>
      <c r="J87" s="40"/>
      <c r="K87" s="36">
        <v>40</v>
      </c>
      <c r="L87" s="36">
        <v>100</v>
      </c>
      <c r="M87" s="36"/>
      <c r="N87" s="36"/>
      <c r="O87" s="36"/>
      <c r="P87" s="146"/>
      <c r="Q87" s="146"/>
      <c r="R87" s="146"/>
      <c r="S87" s="146"/>
      <c r="T87" s="146"/>
      <c r="U87" s="146"/>
      <c r="V87" s="146"/>
      <c r="W87" s="146"/>
      <c r="X87" s="146"/>
      <c r="Y87" s="146"/>
      <c r="Z87" s="146"/>
      <c r="AA87" s="146"/>
      <c r="AB87" s="146"/>
      <c r="AC87" s="146"/>
      <c r="AD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c r="BI87" s="146"/>
      <c r="BJ87" s="146"/>
      <c r="BK87" s="146"/>
      <c r="BL87" s="146"/>
      <c r="BM87" s="146"/>
      <c r="BN87" s="146"/>
      <c r="BO87" s="146"/>
      <c r="BP87" s="146"/>
      <c r="BQ87" s="146"/>
      <c r="BR87" s="146"/>
      <c r="BS87" s="146"/>
      <c r="BT87" s="146"/>
      <c r="BU87" s="146"/>
      <c r="BV87" s="146"/>
      <c r="BW87" s="146"/>
      <c r="BX87" s="146"/>
      <c r="BY87" s="146"/>
      <c r="BZ87" s="146"/>
    </row>
    <row r="88" spans="1:78" s="35" customFormat="1" ht="23.1" customHeight="1" x14ac:dyDescent="0.2">
      <c r="A88" s="552"/>
      <c r="B88" s="137" t="s">
        <v>207</v>
      </c>
      <c r="C88" s="138"/>
      <c r="D88" s="153">
        <v>15</v>
      </c>
      <c r="E88" s="115">
        <f>D88*4</f>
        <v>60</v>
      </c>
      <c r="F88" s="101">
        <f>Calculations!D40</f>
        <v>157500</v>
      </c>
      <c r="G88" s="101">
        <f>Calculations!E40</f>
        <v>6000</v>
      </c>
      <c r="H88" s="146"/>
      <c r="I88" s="146"/>
      <c r="J88" s="40"/>
      <c r="K88" s="36">
        <v>100</v>
      </c>
      <c r="L88" s="36"/>
      <c r="M88" s="36"/>
      <c r="N88" s="36"/>
      <c r="O88" s="36"/>
      <c r="P88" s="146"/>
      <c r="Q88" s="146"/>
      <c r="R88" s="146"/>
      <c r="S88" s="146"/>
      <c r="T88" s="146"/>
      <c r="U88" s="146"/>
      <c r="V88" s="146"/>
      <c r="W88" s="146"/>
      <c r="X88" s="146"/>
      <c r="Y88" s="146"/>
      <c r="Z88" s="146"/>
      <c r="AA88" s="146"/>
      <c r="AB88" s="146"/>
      <c r="AC88" s="146"/>
      <c r="AD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46"/>
      <c r="BO88" s="146"/>
      <c r="BP88" s="146"/>
      <c r="BQ88" s="146"/>
      <c r="BR88" s="146"/>
      <c r="BS88" s="146"/>
      <c r="BT88" s="146"/>
      <c r="BU88" s="146"/>
      <c r="BV88" s="146"/>
      <c r="BW88" s="146"/>
      <c r="BX88" s="146"/>
      <c r="BY88" s="146"/>
      <c r="BZ88" s="146"/>
    </row>
    <row r="89" spans="1:78" s="35" customFormat="1" ht="23.1" customHeight="1" x14ac:dyDescent="0.2">
      <c r="A89" s="552"/>
      <c r="B89" s="137" t="s">
        <v>208</v>
      </c>
      <c r="C89" s="138"/>
      <c r="D89" s="153">
        <v>0</v>
      </c>
      <c r="E89" s="115">
        <f>D89*150</f>
        <v>0</v>
      </c>
      <c r="F89" s="101">
        <f>Calculations!D41</f>
        <v>0</v>
      </c>
      <c r="G89" s="101">
        <f>Calculations!E41</f>
        <v>0</v>
      </c>
      <c r="H89" s="146"/>
      <c r="I89" s="146"/>
      <c r="J89" s="40"/>
      <c r="K89" s="36">
        <v>300</v>
      </c>
      <c r="L89" s="36">
        <v>400</v>
      </c>
      <c r="M89" s="36"/>
      <c r="N89" s="36"/>
      <c r="O89" s="36"/>
      <c r="P89" s="146"/>
      <c r="Q89" s="146"/>
      <c r="R89" s="146"/>
      <c r="S89" s="146"/>
      <c r="T89" s="146"/>
      <c r="U89" s="146"/>
      <c r="V89" s="146"/>
      <c r="W89" s="146"/>
      <c r="X89" s="146"/>
      <c r="Y89" s="146"/>
      <c r="Z89" s="146"/>
      <c r="AA89" s="146"/>
      <c r="AB89" s="146"/>
      <c r="AC89" s="146"/>
      <c r="AD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c r="BI89" s="146"/>
      <c r="BJ89" s="146"/>
      <c r="BK89" s="146"/>
      <c r="BL89" s="146"/>
      <c r="BM89" s="146"/>
      <c r="BN89" s="146"/>
      <c r="BO89" s="146"/>
      <c r="BP89" s="146"/>
      <c r="BQ89" s="146"/>
      <c r="BR89" s="146"/>
      <c r="BS89" s="146"/>
      <c r="BT89" s="146"/>
      <c r="BU89" s="146"/>
      <c r="BV89" s="146"/>
      <c r="BW89" s="146"/>
      <c r="BX89" s="146"/>
      <c r="BY89" s="146"/>
      <c r="BZ89" s="146"/>
    </row>
    <row r="90" spans="1:78" s="35" customFormat="1" ht="23.1" customHeight="1" x14ac:dyDescent="0.2">
      <c r="A90" s="552"/>
      <c r="B90" s="137" t="s">
        <v>209</v>
      </c>
      <c r="C90" s="138"/>
      <c r="D90" s="153">
        <v>1</v>
      </c>
      <c r="E90" s="115">
        <f>D90*150</f>
        <v>150</v>
      </c>
      <c r="F90" s="101">
        <f>Calculations!D42</f>
        <v>470870.19230769231</v>
      </c>
      <c r="G90" s="101">
        <f>Calculations!E42</f>
        <v>93600</v>
      </c>
      <c r="H90" s="146"/>
      <c r="I90" s="146"/>
      <c r="J90" s="40"/>
      <c r="K90" s="36">
        <v>300</v>
      </c>
      <c r="L90" s="36"/>
      <c r="M90" s="36"/>
      <c r="N90" s="36"/>
      <c r="O90" s="36"/>
      <c r="P90" s="146"/>
      <c r="Q90" s="146"/>
      <c r="R90" s="146"/>
      <c r="S90" s="146"/>
      <c r="T90" s="146"/>
      <c r="U90" s="146"/>
      <c r="V90" s="146"/>
      <c r="W90" s="146"/>
      <c r="X90" s="146"/>
      <c r="Y90" s="146"/>
      <c r="Z90" s="146"/>
      <c r="AA90" s="146"/>
      <c r="AB90" s="146"/>
      <c r="AC90" s="146"/>
      <c r="AD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146"/>
      <c r="BT90" s="146"/>
      <c r="BU90" s="146"/>
      <c r="BV90" s="146"/>
      <c r="BW90" s="146"/>
      <c r="BX90" s="146"/>
      <c r="BY90" s="146"/>
      <c r="BZ90" s="146"/>
    </row>
    <row r="91" spans="1:78" s="35" customFormat="1" ht="23.1" customHeight="1" x14ac:dyDescent="0.2">
      <c r="A91" s="552"/>
      <c r="B91" s="137" t="s">
        <v>37</v>
      </c>
      <c r="C91" s="138"/>
      <c r="D91" s="153">
        <v>92</v>
      </c>
      <c r="E91" s="115"/>
      <c r="F91" s="101"/>
      <c r="G91" s="101"/>
      <c r="H91" s="146"/>
      <c r="I91" s="146"/>
      <c r="J91" s="40"/>
      <c r="K91" s="36"/>
      <c r="L91" s="36"/>
      <c r="M91" s="36"/>
      <c r="N91" s="36"/>
      <c r="O91" s="36"/>
      <c r="P91" s="146"/>
      <c r="Q91" s="146"/>
      <c r="R91" s="146"/>
      <c r="S91" s="146"/>
      <c r="T91" s="146"/>
      <c r="U91" s="146"/>
      <c r="V91" s="146"/>
      <c r="W91" s="146"/>
      <c r="X91" s="146"/>
      <c r="Y91" s="146"/>
      <c r="Z91" s="146"/>
      <c r="AA91" s="146"/>
      <c r="AB91" s="146"/>
      <c r="AC91" s="146"/>
      <c r="AD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c r="BI91" s="146"/>
      <c r="BJ91" s="146"/>
      <c r="BK91" s="146"/>
      <c r="BL91" s="146"/>
      <c r="BM91" s="146"/>
      <c r="BN91" s="146"/>
      <c r="BO91" s="146"/>
      <c r="BP91" s="146"/>
      <c r="BQ91" s="146"/>
      <c r="BR91" s="146"/>
      <c r="BS91" s="146"/>
      <c r="BT91" s="146"/>
      <c r="BU91" s="146"/>
      <c r="BV91" s="146"/>
      <c r="BW91" s="146"/>
      <c r="BX91" s="146"/>
      <c r="BY91" s="146"/>
      <c r="BZ91" s="146"/>
    </row>
    <row r="92" spans="1:78" s="35" customFormat="1" ht="23.1" customHeight="1" x14ac:dyDescent="0.2">
      <c r="A92" s="552"/>
      <c r="B92" s="137" t="s">
        <v>210</v>
      </c>
      <c r="C92" s="138"/>
      <c r="D92" s="153">
        <v>0</v>
      </c>
      <c r="E92" s="115">
        <f>D92*40</f>
        <v>0</v>
      </c>
      <c r="F92" s="101">
        <f>Calculations!D43</f>
        <v>0</v>
      </c>
      <c r="G92" s="101">
        <f>Calculations!E43</f>
        <v>0</v>
      </c>
      <c r="H92" s="146"/>
      <c r="I92" s="146"/>
      <c r="J92" s="40"/>
      <c r="K92" s="36">
        <v>160</v>
      </c>
      <c r="L92" s="36"/>
      <c r="M92" s="36"/>
      <c r="N92" s="36"/>
      <c r="O92" s="36"/>
      <c r="P92" s="146"/>
      <c r="Q92" s="146"/>
      <c r="R92" s="146"/>
      <c r="S92" s="146"/>
      <c r="T92" s="146"/>
      <c r="U92" s="146"/>
      <c r="V92" s="146"/>
      <c r="W92" s="146"/>
      <c r="X92" s="146"/>
      <c r="Y92" s="146"/>
      <c r="Z92" s="146"/>
      <c r="AA92" s="146"/>
      <c r="AB92" s="146"/>
      <c r="AC92" s="146"/>
      <c r="AD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c r="BW92" s="146"/>
      <c r="BX92" s="146"/>
      <c r="BY92" s="146"/>
      <c r="BZ92" s="146"/>
    </row>
    <row r="93" spans="1:78" s="72" customFormat="1" ht="15.75" customHeight="1" x14ac:dyDescent="0.2">
      <c r="A93" s="552"/>
      <c r="B93" s="55"/>
      <c r="C93" s="55"/>
      <c r="D93" s="116" t="s">
        <v>9</v>
      </c>
      <c r="E93" s="117">
        <f>SUM(E77:E92)</f>
        <v>330</v>
      </c>
      <c r="F93" s="101">
        <f>SUM(F77:F92)</f>
        <v>640370.19230769225</v>
      </c>
      <c r="G93" s="101">
        <f>SUM(G77:G92)</f>
        <v>99600</v>
      </c>
      <c r="H93" s="146"/>
      <c r="I93" s="146"/>
      <c r="J93" s="40"/>
      <c r="K93" s="73"/>
      <c r="L93" s="73"/>
      <c r="M93" s="73"/>
      <c r="N93" s="73"/>
      <c r="O93" s="73"/>
      <c r="P93" s="146"/>
      <c r="Q93" s="146"/>
      <c r="R93" s="146"/>
      <c r="S93" s="146"/>
      <c r="T93" s="146"/>
      <c r="U93" s="146"/>
      <c r="V93" s="146"/>
      <c r="W93" s="146"/>
      <c r="X93" s="146"/>
      <c r="Y93" s="146"/>
      <c r="Z93" s="146"/>
      <c r="AA93" s="146"/>
      <c r="AB93" s="146"/>
      <c r="AC93" s="146"/>
      <c r="AD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c r="BZ93" s="146"/>
    </row>
    <row r="94" spans="1:78" s="35" customFormat="1" ht="15.75" customHeight="1" x14ac:dyDescent="0.2">
      <c r="A94" s="552"/>
      <c r="B94" s="55"/>
      <c r="C94" s="55"/>
      <c r="D94" s="146"/>
      <c r="E94" s="146"/>
      <c r="F94" s="41"/>
      <c r="G94" s="146"/>
      <c r="H94" s="146"/>
      <c r="I94" s="146"/>
      <c r="J94" s="40"/>
      <c r="K94" s="36"/>
      <c r="L94" s="36"/>
      <c r="M94" s="36"/>
      <c r="N94" s="36"/>
      <c r="O94" s="36"/>
      <c r="P94" s="146"/>
      <c r="Q94" s="146"/>
      <c r="R94" s="146"/>
      <c r="S94" s="146"/>
      <c r="T94" s="146"/>
      <c r="U94" s="146"/>
      <c r="V94" s="146"/>
      <c r="W94" s="146"/>
      <c r="X94" s="146"/>
      <c r="Y94" s="146"/>
      <c r="Z94" s="146"/>
      <c r="AA94" s="146"/>
      <c r="AB94" s="146"/>
      <c r="AC94" s="146"/>
      <c r="AD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row>
    <row r="95" spans="1:78" s="72" customFormat="1" ht="15.75" customHeight="1" x14ac:dyDescent="0.2">
      <c r="A95" s="552"/>
      <c r="B95" s="55"/>
      <c r="C95" s="55"/>
      <c r="D95" s="146"/>
      <c r="E95" s="146"/>
      <c r="F95" s="41"/>
      <c r="G95" s="146"/>
      <c r="H95" s="146"/>
      <c r="I95" s="146"/>
      <c r="J95" s="40"/>
      <c r="K95" s="73"/>
      <c r="L95" s="73"/>
      <c r="M95" s="73"/>
      <c r="N95" s="73"/>
      <c r="O95" s="73"/>
      <c r="P95" s="146"/>
      <c r="Q95" s="146"/>
      <c r="R95" s="146"/>
      <c r="S95" s="146"/>
      <c r="T95" s="146"/>
      <c r="U95" s="146"/>
      <c r="V95" s="146"/>
      <c r="W95" s="146"/>
      <c r="X95" s="146"/>
      <c r="Y95" s="146"/>
      <c r="Z95" s="146"/>
      <c r="AA95" s="146"/>
      <c r="AB95" s="146"/>
      <c r="AC95" s="146"/>
      <c r="AD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c r="BZ95" s="146"/>
    </row>
    <row r="96" spans="1:78" s="72" customFormat="1" ht="15.75" customHeight="1" x14ac:dyDescent="0.2">
      <c r="A96" s="552"/>
      <c r="B96" s="55"/>
      <c r="C96" s="55"/>
      <c r="D96" s="146"/>
      <c r="E96" s="146"/>
      <c r="F96" s="41"/>
      <c r="G96" s="146"/>
      <c r="H96" s="146"/>
      <c r="I96" s="146"/>
      <c r="J96" s="40"/>
      <c r="K96" s="73"/>
      <c r="L96" s="73"/>
      <c r="M96" s="73"/>
      <c r="N96" s="73"/>
      <c r="O96" s="73"/>
      <c r="P96" s="146"/>
      <c r="Q96" s="146"/>
      <c r="R96" s="146"/>
      <c r="S96" s="146"/>
      <c r="T96" s="146"/>
      <c r="U96" s="146"/>
      <c r="V96" s="146"/>
      <c r="W96" s="146"/>
      <c r="X96" s="146"/>
      <c r="Y96" s="146"/>
      <c r="Z96" s="146"/>
      <c r="AA96" s="146"/>
      <c r="AB96" s="146"/>
      <c r="AC96" s="146"/>
      <c r="AD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c r="BZ96" s="146"/>
    </row>
    <row r="97" spans="1:78" s="72" customFormat="1" ht="15.75" customHeight="1" x14ac:dyDescent="0.2">
      <c r="A97" s="552"/>
      <c r="B97" s="55"/>
      <c r="C97" s="55"/>
      <c r="D97" s="146"/>
      <c r="E97" s="146"/>
      <c r="F97" s="41"/>
      <c r="G97" s="146"/>
      <c r="H97" s="146"/>
      <c r="I97" s="146"/>
      <c r="J97" s="40"/>
      <c r="K97" s="73"/>
      <c r="L97" s="73"/>
      <c r="M97" s="73"/>
      <c r="N97" s="73"/>
      <c r="O97" s="73"/>
      <c r="P97" s="146"/>
      <c r="Q97" s="146"/>
      <c r="R97" s="146"/>
      <c r="S97" s="146"/>
      <c r="T97" s="146"/>
      <c r="U97" s="146"/>
      <c r="V97" s="146"/>
      <c r="W97" s="146"/>
      <c r="X97" s="146"/>
      <c r="Y97" s="146"/>
      <c r="Z97" s="146"/>
      <c r="AA97" s="146"/>
      <c r="AB97" s="146"/>
      <c r="AC97" s="146"/>
      <c r="AD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c r="BV97" s="146"/>
      <c r="BW97" s="146"/>
      <c r="BX97" s="146"/>
      <c r="BY97" s="146"/>
      <c r="BZ97" s="146"/>
    </row>
    <row r="98" spans="1:78" s="72" customFormat="1" ht="15.75" customHeight="1" x14ac:dyDescent="0.2">
      <c r="A98" s="552"/>
      <c r="B98" s="55"/>
      <c r="C98" s="55"/>
      <c r="D98" s="146"/>
      <c r="E98" s="146"/>
      <c r="F98" s="41"/>
      <c r="G98" s="146"/>
      <c r="H98" s="146"/>
      <c r="I98" s="146"/>
      <c r="J98" s="40"/>
      <c r="K98" s="73"/>
      <c r="L98" s="73"/>
      <c r="M98" s="73"/>
      <c r="N98" s="73"/>
      <c r="O98" s="73"/>
      <c r="P98" s="146"/>
      <c r="Q98" s="146"/>
      <c r="R98" s="146"/>
      <c r="S98" s="146"/>
      <c r="T98" s="146"/>
      <c r="U98" s="146"/>
      <c r="V98" s="146"/>
      <c r="W98" s="146"/>
      <c r="X98" s="146"/>
      <c r="Y98" s="146"/>
      <c r="Z98" s="146"/>
      <c r="AA98" s="146"/>
      <c r="AB98" s="146"/>
      <c r="AC98" s="146"/>
      <c r="AD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row>
    <row r="99" spans="1:78" s="72" customFormat="1" ht="15.75" customHeight="1" x14ac:dyDescent="0.2">
      <c r="A99" s="552"/>
      <c r="B99" s="55"/>
      <c r="C99" s="55"/>
      <c r="D99" s="146"/>
      <c r="E99" s="146"/>
      <c r="F99" s="41"/>
      <c r="G99" s="146"/>
      <c r="H99" s="146"/>
      <c r="I99" s="146"/>
      <c r="J99" s="40"/>
      <c r="K99" s="73"/>
      <c r="L99" s="73"/>
      <c r="M99" s="73"/>
      <c r="N99" s="73"/>
      <c r="O99" s="73"/>
      <c r="P99" s="146"/>
      <c r="Q99" s="146"/>
      <c r="R99" s="146"/>
      <c r="S99" s="146"/>
      <c r="T99" s="146"/>
      <c r="U99" s="146"/>
      <c r="V99" s="146"/>
      <c r="W99" s="146"/>
      <c r="X99" s="146"/>
      <c r="Y99" s="146"/>
      <c r="Z99" s="146"/>
      <c r="AA99" s="146"/>
      <c r="AB99" s="146"/>
      <c r="AC99" s="146"/>
      <c r="AD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row>
    <row r="100" spans="1:78" s="72" customFormat="1" ht="15.75" customHeight="1" x14ac:dyDescent="0.2">
      <c r="A100" s="552"/>
      <c r="B100" s="55"/>
      <c r="C100" s="55"/>
      <c r="D100" s="146"/>
      <c r="E100" s="146"/>
      <c r="F100" s="41"/>
      <c r="G100" s="146"/>
      <c r="H100" s="146"/>
      <c r="I100" s="146"/>
      <c r="J100" s="40"/>
      <c r="K100" s="73"/>
      <c r="L100" s="73"/>
      <c r="M100" s="73"/>
      <c r="N100" s="73"/>
      <c r="O100" s="73"/>
      <c r="P100" s="146"/>
      <c r="Q100" s="146"/>
      <c r="R100" s="146"/>
      <c r="S100" s="146"/>
      <c r="T100" s="146"/>
      <c r="U100" s="146"/>
      <c r="V100" s="146"/>
      <c r="W100" s="146"/>
      <c r="X100" s="146"/>
      <c r="Y100" s="146"/>
      <c r="Z100" s="146"/>
      <c r="AA100" s="146"/>
      <c r="AB100" s="146"/>
      <c r="AC100" s="146"/>
      <c r="AD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row>
    <row r="101" spans="1:78" s="72" customFormat="1" ht="15.75" customHeight="1" x14ac:dyDescent="0.2">
      <c r="A101" s="552"/>
      <c r="B101" s="55"/>
      <c r="C101" s="55"/>
      <c r="D101" s="146"/>
      <c r="E101" s="146"/>
      <c r="F101" s="41"/>
      <c r="G101" s="146"/>
      <c r="H101" s="146"/>
      <c r="I101" s="146"/>
      <c r="J101" s="40"/>
      <c r="K101" s="73"/>
      <c r="L101" s="73"/>
      <c r="M101" s="73"/>
      <c r="N101" s="73"/>
      <c r="O101" s="73"/>
      <c r="P101" s="146"/>
      <c r="Q101" s="146"/>
      <c r="R101" s="146"/>
      <c r="S101" s="146"/>
      <c r="T101" s="146"/>
      <c r="U101" s="146"/>
      <c r="V101" s="146"/>
      <c r="W101" s="146"/>
      <c r="X101" s="146"/>
      <c r="Y101" s="146"/>
      <c r="Z101" s="146"/>
      <c r="AA101" s="146"/>
      <c r="AB101" s="146"/>
      <c r="AC101" s="146"/>
      <c r="AD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row>
    <row r="102" spans="1:78" s="72" customFormat="1" ht="15.75" customHeight="1" x14ac:dyDescent="0.2">
      <c r="A102" s="552"/>
      <c r="B102" s="55"/>
      <c r="C102" s="55"/>
      <c r="D102" s="146"/>
      <c r="E102" s="146"/>
      <c r="F102" s="41"/>
      <c r="G102" s="146"/>
      <c r="H102" s="146"/>
      <c r="I102" s="146"/>
      <c r="J102" s="40"/>
      <c r="K102" s="73"/>
      <c r="L102" s="73"/>
      <c r="M102" s="73"/>
      <c r="N102" s="73"/>
      <c r="O102" s="73"/>
      <c r="P102" s="146"/>
      <c r="Q102" s="146"/>
      <c r="R102" s="146"/>
      <c r="S102" s="146"/>
      <c r="T102" s="146"/>
      <c r="U102" s="146"/>
      <c r="V102" s="146"/>
      <c r="W102" s="146"/>
      <c r="X102" s="146"/>
      <c r="Y102" s="146"/>
      <c r="Z102" s="146"/>
      <c r="AA102" s="146"/>
      <c r="AB102" s="146"/>
      <c r="AC102" s="146"/>
      <c r="AD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c r="BV102" s="146"/>
      <c r="BW102" s="146"/>
      <c r="BX102" s="146"/>
      <c r="BY102" s="146"/>
      <c r="BZ102" s="146"/>
    </row>
    <row r="103" spans="1:78" s="72" customFormat="1" ht="15.75" customHeight="1" x14ac:dyDescent="0.2">
      <c r="A103" s="552"/>
      <c r="B103" s="55"/>
      <c r="C103" s="55"/>
      <c r="D103" s="146"/>
      <c r="E103" s="146"/>
      <c r="F103" s="41"/>
      <c r="G103" s="146"/>
      <c r="H103" s="146"/>
      <c r="I103" s="146"/>
      <c r="J103" s="40"/>
      <c r="K103" s="73"/>
      <c r="L103" s="73"/>
      <c r="M103" s="73"/>
      <c r="N103" s="73"/>
      <c r="O103" s="73"/>
      <c r="P103" s="146"/>
      <c r="Q103" s="146"/>
      <c r="R103" s="146"/>
      <c r="S103" s="146"/>
      <c r="T103" s="146"/>
      <c r="U103" s="146"/>
      <c r="V103" s="146"/>
      <c r="W103" s="146"/>
      <c r="X103" s="146"/>
      <c r="Y103" s="146"/>
      <c r="Z103" s="146"/>
      <c r="AA103" s="146"/>
      <c r="AB103" s="146"/>
      <c r="AC103" s="146"/>
      <c r="AD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c r="BW103" s="146"/>
      <c r="BX103" s="146"/>
      <c r="BY103" s="146"/>
      <c r="BZ103" s="146"/>
    </row>
    <row r="104" spans="1:78" s="72" customFormat="1" ht="15.75" customHeight="1" x14ac:dyDescent="0.2">
      <c r="A104" s="552"/>
      <c r="B104" s="55"/>
      <c r="C104" s="55"/>
      <c r="D104" s="146"/>
      <c r="E104" s="146"/>
      <c r="F104" s="41"/>
      <c r="G104" s="146"/>
      <c r="H104" s="146"/>
      <c r="I104" s="146"/>
      <c r="J104" s="40"/>
      <c r="K104" s="73"/>
      <c r="L104" s="73"/>
      <c r="M104" s="73"/>
      <c r="N104" s="73"/>
      <c r="O104" s="73"/>
      <c r="P104" s="146"/>
      <c r="Q104" s="146"/>
      <c r="R104" s="146"/>
      <c r="S104" s="146"/>
      <c r="T104" s="146"/>
      <c r="U104" s="146"/>
      <c r="V104" s="146"/>
      <c r="W104" s="146"/>
      <c r="X104" s="146"/>
      <c r="Y104" s="146"/>
      <c r="Z104" s="146"/>
      <c r="AA104" s="146"/>
      <c r="AB104" s="146"/>
      <c r="AC104" s="146"/>
      <c r="AD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6"/>
      <c r="BT104" s="146"/>
      <c r="BU104" s="146"/>
      <c r="BV104" s="146"/>
      <c r="BW104" s="146"/>
      <c r="BX104" s="146"/>
      <c r="BY104" s="146"/>
      <c r="BZ104" s="146"/>
    </row>
    <row r="105" spans="1:78" s="72" customFormat="1" ht="15.75" customHeight="1" x14ac:dyDescent="0.2">
      <c r="A105" s="262"/>
      <c r="B105" s="55"/>
      <c r="C105" s="55"/>
      <c r="D105" s="146"/>
      <c r="E105" s="146"/>
      <c r="F105" s="41"/>
      <c r="G105" s="146"/>
      <c r="H105" s="146"/>
      <c r="I105" s="146"/>
      <c r="J105" s="40"/>
      <c r="K105" s="73"/>
      <c r="L105" s="73"/>
      <c r="M105" s="73"/>
      <c r="N105" s="73"/>
      <c r="O105" s="73"/>
      <c r="P105" s="146"/>
      <c r="Q105" s="146"/>
      <c r="R105" s="146"/>
      <c r="S105" s="146"/>
      <c r="T105" s="146"/>
      <c r="U105" s="146"/>
      <c r="V105" s="146"/>
      <c r="W105" s="146"/>
      <c r="X105" s="146"/>
      <c r="Y105" s="146"/>
      <c r="Z105" s="146"/>
      <c r="AA105" s="146"/>
      <c r="AB105" s="146"/>
      <c r="AC105" s="146"/>
      <c r="AD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c r="BT105" s="146"/>
      <c r="BU105" s="146"/>
      <c r="BV105" s="146"/>
      <c r="BW105" s="146"/>
      <c r="BX105" s="146"/>
      <c r="BY105" s="146"/>
      <c r="BZ105" s="146"/>
    </row>
    <row r="106" spans="1:78" s="35" customFormat="1" ht="15.75" customHeight="1" x14ac:dyDescent="0.2">
      <c r="A106" s="552">
        <v>10</v>
      </c>
      <c r="B106" s="559" t="s">
        <v>356</v>
      </c>
      <c r="C106" s="553"/>
      <c r="D106" s="554"/>
      <c r="E106" s="146"/>
      <c r="F106" s="41"/>
      <c r="G106" s="146"/>
      <c r="H106" s="146"/>
      <c r="I106" s="146"/>
      <c r="J106" s="40"/>
      <c r="K106" s="36"/>
      <c r="L106" s="36"/>
      <c r="M106" s="36"/>
      <c r="N106" s="36"/>
      <c r="O106" s="36"/>
      <c r="P106" s="146"/>
      <c r="Q106" s="146"/>
      <c r="R106" s="146"/>
      <c r="S106" s="146"/>
      <c r="T106" s="146"/>
      <c r="U106" s="146"/>
      <c r="V106" s="146"/>
      <c r="W106" s="146"/>
      <c r="X106" s="146"/>
      <c r="Y106" s="146"/>
      <c r="Z106" s="146"/>
      <c r="AA106" s="146"/>
      <c r="AB106" s="146"/>
      <c r="AC106" s="146"/>
      <c r="AD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c r="BW106" s="146"/>
      <c r="BX106" s="146"/>
      <c r="BY106" s="146"/>
      <c r="BZ106" s="146"/>
    </row>
    <row r="107" spans="1:78" s="35" customFormat="1" ht="15.75" customHeight="1" x14ac:dyDescent="0.2">
      <c r="A107" s="552"/>
      <c r="B107" s="560"/>
      <c r="C107" s="555"/>
      <c r="D107" s="556"/>
      <c r="E107" s="146"/>
      <c r="F107" s="41"/>
      <c r="G107" s="146"/>
      <c r="H107" s="146"/>
      <c r="I107" s="146"/>
      <c r="J107" s="40"/>
      <c r="K107" s="36"/>
      <c r="L107" s="36"/>
      <c r="M107" s="36"/>
      <c r="N107" s="36"/>
      <c r="O107" s="36"/>
      <c r="P107" s="146"/>
      <c r="Q107" s="146"/>
      <c r="R107" s="146"/>
      <c r="S107" s="146"/>
      <c r="T107" s="146"/>
      <c r="U107" s="146"/>
      <c r="V107" s="146"/>
      <c r="W107" s="146"/>
      <c r="X107" s="146"/>
      <c r="Y107" s="146"/>
      <c r="Z107" s="146"/>
      <c r="AA107" s="146"/>
      <c r="AB107" s="146"/>
      <c r="AC107" s="146"/>
      <c r="AD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6"/>
      <c r="BT107" s="146"/>
      <c r="BU107" s="146"/>
      <c r="BV107" s="146"/>
      <c r="BW107" s="146"/>
      <c r="BX107" s="146"/>
      <c r="BY107" s="146"/>
      <c r="BZ107" s="146"/>
    </row>
    <row r="108" spans="1:78" s="35" customFormat="1" ht="15.75" customHeight="1" x14ac:dyDescent="0.2">
      <c r="A108" s="552"/>
      <c r="B108" s="146"/>
      <c r="C108" s="146"/>
      <c r="D108" s="146"/>
      <c r="E108" s="146"/>
      <c r="F108" s="41"/>
      <c r="G108" s="146"/>
      <c r="H108" s="146"/>
      <c r="I108" s="146"/>
      <c r="J108" s="40"/>
      <c r="K108" s="36"/>
      <c r="L108" s="36"/>
      <c r="M108" s="36"/>
      <c r="N108" s="36"/>
      <c r="O108" s="36"/>
      <c r="P108" s="146"/>
      <c r="Q108" s="146"/>
      <c r="R108" s="146"/>
      <c r="S108" s="146"/>
      <c r="T108" s="146"/>
      <c r="U108" s="146"/>
      <c r="V108" s="146"/>
      <c r="W108" s="146"/>
      <c r="X108" s="146"/>
      <c r="Y108" s="146"/>
      <c r="Z108" s="146"/>
      <c r="AA108" s="146"/>
      <c r="AB108" s="146"/>
      <c r="AC108" s="146"/>
      <c r="AD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c r="BN108" s="146"/>
      <c r="BO108" s="146"/>
      <c r="BP108" s="146"/>
      <c r="BQ108" s="146"/>
      <c r="BR108" s="146"/>
      <c r="BS108" s="146"/>
      <c r="BT108" s="146"/>
      <c r="BU108" s="146"/>
      <c r="BV108" s="146"/>
      <c r="BW108" s="146"/>
      <c r="BX108" s="146"/>
      <c r="BY108" s="146"/>
      <c r="BZ108" s="146"/>
    </row>
    <row r="109" spans="1:78" s="35" customFormat="1" ht="15.75" customHeight="1" x14ac:dyDescent="0.2">
      <c r="A109" s="552"/>
      <c r="B109" s="146"/>
      <c r="C109" s="146"/>
      <c r="D109" s="146"/>
      <c r="E109" s="146"/>
      <c r="F109" s="41"/>
      <c r="G109" s="146"/>
      <c r="H109" s="146"/>
      <c r="I109" s="146"/>
      <c r="J109" s="40"/>
      <c r="K109" s="36"/>
      <c r="L109" s="36"/>
      <c r="M109" s="36"/>
      <c r="N109" s="36"/>
      <c r="O109" s="36"/>
      <c r="P109" s="146"/>
      <c r="Q109" s="146"/>
      <c r="R109" s="146"/>
      <c r="S109" s="146"/>
      <c r="T109" s="146"/>
      <c r="U109" s="146"/>
      <c r="V109" s="146"/>
      <c r="W109" s="146"/>
      <c r="X109" s="146"/>
      <c r="Y109" s="146"/>
      <c r="Z109" s="146"/>
      <c r="AA109" s="146"/>
      <c r="AB109" s="146"/>
      <c r="AC109" s="146"/>
      <c r="AD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6"/>
      <c r="BM109" s="146"/>
      <c r="BN109" s="146"/>
      <c r="BO109" s="146"/>
      <c r="BP109" s="146"/>
      <c r="BQ109" s="146"/>
      <c r="BR109" s="146"/>
      <c r="BS109" s="146"/>
      <c r="BT109" s="146"/>
      <c r="BU109" s="146"/>
      <c r="BV109" s="146"/>
      <c r="BW109" s="146"/>
      <c r="BX109" s="146"/>
      <c r="BY109" s="146"/>
      <c r="BZ109" s="146"/>
    </row>
    <row r="110" spans="1:78" s="35" customFormat="1" ht="15.75" customHeight="1" x14ac:dyDescent="0.2">
      <c r="A110" s="552"/>
      <c r="B110" s="146"/>
      <c r="C110" s="146"/>
      <c r="D110" s="38"/>
      <c r="E110" s="146"/>
      <c r="F110" s="41"/>
      <c r="G110" s="146"/>
      <c r="H110" s="146"/>
      <c r="I110" s="146"/>
      <c r="J110" s="40"/>
      <c r="K110" s="36"/>
      <c r="L110" s="36"/>
      <c r="M110" s="36"/>
      <c r="N110" s="36"/>
      <c r="O110" s="36"/>
      <c r="P110" s="146"/>
      <c r="Q110" s="146"/>
      <c r="R110" s="146"/>
      <c r="S110" s="146"/>
      <c r="T110" s="146"/>
      <c r="U110" s="146"/>
      <c r="V110" s="146"/>
      <c r="W110" s="146"/>
      <c r="X110" s="146"/>
      <c r="Y110" s="146"/>
      <c r="Z110" s="146"/>
      <c r="AA110" s="146"/>
      <c r="AB110" s="146"/>
      <c r="AC110" s="146"/>
      <c r="AD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c r="BN110" s="146"/>
      <c r="BO110" s="146"/>
      <c r="BP110" s="146"/>
      <c r="BQ110" s="146"/>
      <c r="BR110" s="146"/>
      <c r="BS110" s="146"/>
      <c r="BT110" s="146"/>
      <c r="BU110" s="146"/>
      <c r="BV110" s="146"/>
      <c r="BW110" s="146"/>
      <c r="BX110" s="146"/>
      <c r="BY110" s="146"/>
      <c r="BZ110" s="146"/>
    </row>
    <row r="111" spans="1:78" s="72" customFormat="1" ht="15.75" customHeight="1" x14ac:dyDescent="0.2">
      <c r="A111" s="552"/>
      <c r="B111" s="146"/>
      <c r="C111" s="146"/>
      <c r="D111" s="38"/>
      <c r="E111" s="146"/>
      <c r="F111" s="41"/>
      <c r="G111" s="146"/>
      <c r="H111" s="146"/>
      <c r="I111" s="146"/>
      <c r="J111" s="40"/>
      <c r="K111" s="73"/>
      <c r="L111" s="73"/>
      <c r="M111" s="73"/>
      <c r="N111" s="73"/>
      <c r="O111" s="73"/>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6"/>
      <c r="BX111" s="146"/>
      <c r="BY111" s="146"/>
      <c r="BZ111" s="146"/>
    </row>
    <row r="112" spans="1:78" s="72" customFormat="1" ht="15.75" customHeight="1" x14ac:dyDescent="0.2">
      <c r="A112" s="552"/>
      <c r="B112" s="146"/>
      <c r="C112" s="146"/>
      <c r="D112" s="38"/>
      <c r="E112" s="146"/>
      <c r="F112" s="41"/>
      <c r="G112" s="146"/>
      <c r="H112" s="146"/>
      <c r="I112" s="146"/>
      <c r="J112" s="40"/>
      <c r="K112" s="73"/>
      <c r="L112" s="73"/>
      <c r="M112" s="73"/>
      <c r="N112" s="73"/>
      <c r="O112" s="73"/>
      <c r="P112" s="146"/>
      <c r="Q112" s="146"/>
      <c r="R112" s="146"/>
      <c r="S112" s="146"/>
      <c r="T112" s="146"/>
      <c r="U112" s="146"/>
      <c r="V112" s="146"/>
      <c r="W112" s="146"/>
      <c r="X112" s="146"/>
      <c r="Y112" s="146"/>
      <c r="Z112" s="146"/>
      <c r="AA112" s="146"/>
      <c r="AB112" s="146"/>
      <c r="AC112" s="146"/>
      <c r="AD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c r="BI112" s="146"/>
      <c r="BJ112" s="146"/>
      <c r="BK112" s="146"/>
      <c r="BL112" s="146"/>
      <c r="BM112" s="146"/>
      <c r="BN112" s="146"/>
      <c r="BO112" s="146"/>
      <c r="BP112" s="146"/>
      <c r="BQ112" s="146"/>
      <c r="BR112" s="146"/>
      <c r="BS112" s="146"/>
      <c r="BT112" s="146"/>
      <c r="BU112" s="146"/>
      <c r="BV112" s="146"/>
      <c r="BW112" s="146"/>
      <c r="BX112" s="146"/>
      <c r="BY112" s="146"/>
      <c r="BZ112" s="146"/>
    </row>
    <row r="113" spans="1:78" s="72" customFormat="1" ht="15.75" customHeight="1" x14ac:dyDescent="0.2">
      <c r="A113" s="552"/>
      <c r="B113" s="146"/>
      <c r="C113" s="146"/>
      <c r="D113" s="38"/>
      <c r="E113" s="146"/>
      <c r="F113" s="41"/>
      <c r="G113" s="146"/>
      <c r="H113" s="146"/>
      <c r="I113" s="146"/>
      <c r="J113" s="40"/>
      <c r="K113" s="73"/>
      <c r="L113" s="73"/>
      <c r="M113" s="73"/>
      <c r="N113" s="73"/>
      <c r="O113" s="73"/>
      <c r="P113" s="146"/>
      <c r="Q113" s="146"/>
      <c r="R113" s="146"/>
      <c r="S113" s="146"/>
      <c r="T113" s="146"/>
      <c r="U113" s="146"/>
      <c r="V113" s="146"/>
      <c r="W113" s="146"/>
      <c r="X113" s="146"/>
      <c r="Y113" s="146"/>
      <c r="Z113" s="146"/>
      <c r="AA113" s="146"/>
      <c r="AB113" s="146"/>
      <c r="AC113" s="146"/>
      <c r="AD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146"/>
      <c r="BO113" s="146"/>
      <c r="BP113" s="146"/>
      <c r="BQ113" s="146"/>
      <c r="BR113" s="146"/>
      <c r="BS113" s="146"/>
      <c r="BT113" s="146"/>
      <c r="BU113" s="146"/>
      <c r="BV113" s="146"/>
      <c r="BW113" s="146"/>
      <c r="BX113" s="146"/>
      <c r="BY113" s="146"/>
      <c r="BZ113" s="146"/>
    </row>
    <row r="114" spans="1:78" s="72" customFormat="1" ht="15.75" customHeight="1" x14ac:dyDescent="0.2">
      <c r="A114" s="552"/>
      <c r="B114" s="146"/>
      <c r="C114" s="146"/>
      <c r="D114" s="38"/>
      <c r="E114" s="146"/>
      <c r="F114" s="41"/>
      <c r="G114" s="146"/>
      <c r="H114" s="146"/>
      <c r="I114" s="146"/>
      <c r="J114" s="40"/>
      <c r="K114" s="73"/>
      <c r="L114" s="73"/>
      <c r="M114" s="73"/>
      <c r="N114" s="73"/>
      <c r="O114" s="73"/>
      <c r="P114" s="146"/>
      <c r="Q114" s="146"/>
      <c r="R114" s="146"/>
      <c r="S114" s="146"/>
      <c r="T114" s="146"/>
      <c r="U114" s="146"/>
      <c r="V114" s="146"/>
      <c r="W114" s="146"/>
      <c r="X114" s="146"/>
      <c r="Y114" s="146"/>
      <c r="Z114" s="146"/>
      <c r="AA114" s="146"/>
      <c r="AB114" s="146"/>
      <c r="AC114" s="146"/>
      <c r="AD114" s="146"/>
      <c r="AF114" s="146"/>
      <c r="AG114" s="146"/>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c r="BI114" s="146"/>
      <c r="BJ114" s="146"/>
      <c r="BK114" s="146"/>
      <c r="BL114" s="146"/>
      <c r="BM114" s="146"/>
      <c r="BN114" s="146"/>
      <c r="BO114" s="146"/>
      <c r="BP114" s="146"/>
      <c r="BQ114" s="146"/>
      <c r="BR114" s="146"/>
      <c r="BS114" s="146"/>
      <c r="BT114" s="146"/>
      <c r="BU114" s="146"/>
      <c r="BV114" s="146"/>
      <c r="BW114" s="146"/>
      <c r="BX114" s="146"/>
      <c r="BY114" s="146"/>
      <c r="BZ114" s="146"/>
    </row>
    <row r="115" spans="1:78" s="72" customFormat="1" ht="15.75" customHeight="1" x14ac:dyDescent="0.2">
      <c r="A115" s="552"/>
      <c r="B115" s="146"/>
      <c r="C115" s="146"/>
      <c r="D115" s="38"/>
      <c r="E115" s="146"/>
      <c r="F115" s="41"/>
      <c r="G115" s="146"/>
      <c r="H115" s="146"/>
      <c r="I115" s="146"/>
      <c r="J115" s="40"/>
      <c r="K115" s="73"/>
      <c r="L115" s="73"/>
      <c r="M115" s="73"/>
      <c r="N115" s="73"/>
      <c r="O115" s="73"/>
      <c r="P115" s="146"/>
      <c r="Q115" s="146"/>
      <c r="R115" s="146"/>
      <c r="S115" s="146"/>
      <c r="T115" s="146"/>
      <c r="U115" s="146"/>
      <c r="V115" s="146"/>
      <c r="W115" s="146"/>
      <c r="X115" s="146"/>
      <c r="Y115" s="146"/>
      <c r="Z115" s="146"/>
      <c r="AA115" s="146"/>
      <c r="AB115" s="146"/>
      <c r="AC115" s="146"/>
      <c r="AD115" s="146"/>
      <c r="AF115" s="146"/>
      <c r="AG115" s="146"/>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c r="BI115" s="146"/>
      <c r="BJ115" s="146"/>
      <c r="BK115" s="146"/>
      <c r="BL115" s="146"/>
      <c r="BM115" s="146"/>
      <c r="BN115" s="146"/>
      <c r="BO115" s="146"/>
      <c r="BP115" s="146"/>
      <c r="BQ115" s="146"/>
      <c r="BR115" s="146"/>
      <c r="BS115" s="146"/>
      <c r="BT115" s="146"/>
      <c r="BU115" s="146"/>
      <c r="BV115" s="146"/>
      <c r="BW115" s="146"/>
      <c r="BX115" s="146"/>
      <c r="BY115" s="146"/>
      <c r="BZ115" s="146"/>
    </row>
    <row r="116" spans="1:78" s="72" customFormat="1" ht="15.75" customHeight="1" x14ac:dyDescent="0.2">
      <c r="A116" s="552"/>
      <c r="B116" s="146"/>
      <c r="C116" s="146"/>
      <c r="D116" s="38"/>
      <c r="E116" s="146"/>
      <c r="F116" s="41"/>
      <c r="G116" s="146"/>
      <c r="H116" s="146"/>
      <c r="I116" s="146"/>
      <c r="J116" s="40"/>
      <c r="K116" s="73"/>
      <c r="L116" s="73"/>
      <c r="M116" s="73"/>
      <c r="N116" s="73"/>
      <c r="O116" s="73"/>
      <c r="P116" s="146"/>
      <c r="Q116" s="146"/>
      <c r="R116" s="146"/>
      <c r="S116" s="146"/>
      <c r="T116" s="146"/>
      <c r="U116" s="146"/>
      <c r="V116" s="146"/>
      <c r="W116" s="146"/>
      <c r="X116" s="146"/>
      <c r="Y116" s="146"/>
      <c r="Z116" s="146"/>
      <c r="AA116" s="146"/>
      <c r="AB116" s="146"/>
      <c r="AC116" s="146"/>
      <c r="AD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c r="BN116" s="146"/>
      <c r="BO116" s="146"/>
      <c r="BP116" s="146"/>
      <c r="BQ116" s="146"/>
      <c r="BR116" s="146"/>
      <c r="BS116" s="146"/>
      <c r="BT116" s="146"/>
      <c r="BU116" s="146"/>
      <c r="BV116" s="146"/>
      <c r="BW116" s="146"/>
      <c r="BX116" s="146"/>
      <c r="BY116" s="146"/>
      <c r="BZ116" s="146"/>
    </row>
    <row r="117" spans="1:78" s="176" customFormat="1" ht="15.75" customHeight="1" x14ac:dyDescent="0.2">
      <c r="A117" s="552"/>
      <c r="B117" s="146"/>
      <c r="C117" s="146"/>
      <c r="D117" s="38"/>
      <c r="E117" s="146"/>
      <c r="F117" s="41"/>
      <c r="G117" s="146"/>
      <c r="H117" s="146"/>
      <c r="I117" s="146"/>
      <c r="J117" s="40"/>
      <c r="K117" s="73"/>
      <c r="L117" s="73"/>
      <c r="M117" s="73"/>
      <c r="N117" s="73"/>
      <c r="O117" s="73"/>
      <c r="P117" s="146"/>
      <c r="Q117" s="146"/>
      <c r="R117" s="146"/>
      <c r="S117" s="146"/>
      <c r="T117" s="146"/>
      <c r="U117" s="146"/>
      <c r="V117" s="146"/>
      <c r="W117" s="146"/>
      <c r="X117" s="146"/>
      <c r="Y117" s="146"/>
      <c r="Z117" s="146"/>
      <c r="AA117" s="146"/>
      <c r="AB117" s="146"/>
      <c r="AC117" s="146"/>
      <c r="AD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row>
    <row r="118" spans="1:78" s="72" customFormat="1" ht="15.75" customHeight="1" x14ac:dyDescent="0.2">
      <c r="A118" s="552"/>
      <c r="B118" s="146"/>
      <c r="C118" s="146"/>
      <c r="D118" s="38"/>
      <c r="E118" s="146"/>
      <c r="F118" s="41"/>
      <c r="G118" s="146"/>
      <c r="H118" s="146"/>
      <c r="I118" s="146"/>
      <c r="J118" s="40"/>
      <c r="K118" s="73"/>
      <c r="L118" s="73"/>
      <c r="M118" s="73"/>
      <c r="N118" s="73"/>
      <c r="O118" s="73"/>
      <c r="P118" s="146"/>
      <c r="Q118" s="146"/>
      <c r="R118" s="146"/>
      <c r="S118" s="146"/>
      <c r="T118" s="146"/>
      <c r="U118" s="146"/>
      <c r="V118" s="146"/>
      <c r="W118" s="146"/>
      <c r="X118" s="146"/>
      <c r="Y118" s="146"/>
      <c r="Z118" s="146"/>
      <c r="AA118" s="146"/>
      <c r="AB118" s="146"/>
      <c r="AC118" s="146"/>
      <c r="AD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c r="BV118" s="146"/>
      <c r="BW118" s="146"/>
      <c r="BX118" s="146"/>
      <c r="BY118" s="146"/>
      <c r="BZ118" s="146"/>
    </row>
    <row r="119" spans="1:78" ht="15" customHeight="1" thickBot="1" x14ac:dyDescent="0.25">
      <c r="A119" s="26"/>
      <c r="B119" s="27"/>
      <c r="C119" s="27"/>
      <c r="D119" s="27"/>
      <c r="E119" s="27"/>
      <c r="F119" s="27"/>
      <c r="G119" s="27"/>
      <c r="H119" s="27"/>
      <c r="I119" s="27"/>
      <c r="J119" s="28"/>
      <c r="P119" s="146"/>
      <c r="Q119" s="146"/>
      <c r="R119" s="146"/>
      <c r="S119" s="146"/>
      <c r="T119" s="146"/>
      <c r="U119" s="146"/>
      <c r="V119" s="146"/>
      <c r="W119" s="146"/>
      <c r="X119" s="146"/>
      <c r="Y119" s="146"/>
      <c r="Z119" s="146"/>
      <c r="AA119" s="146"/>
      <c r="AB119" s="146"/>
      <c r="AC119" s="146"/>
      <c r="AD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146"/>
      <c r="BO119" s="146"/>
      <c r="BP119" s="146"/>
      <c r="BQ119" s="146"/>
      <c r="BR119" s="146"/>
      <c r="BS119" s="146"/>
      <c r="BT119" s="146"/>
      <c r="BU119" s="146"/>
      <c r="BV119" s="146"/>
      <c r="BW119" s="146"/>
      <c r="BX119" s="146"/>
      <c r="BY119" s="146"/>
      <c r="BZ119" s="146"/>
    </row>
    <row r="120" spans="1:78" ht="15" hidden="1" customHeight="1" x14ac:dyDescent="0.2">
      <c r="A120" s="16" t="s">
        <v>65</v>
      </c>
      <c r="B120" s="39"/>
      <c r="C120" s="39"/>
      <c r="D120" s="38"/>
      <c r="E120" s="25"/>
      <c r="F120" s="25"/>
      <c r="G120" s="25"/>
      <c r="H120" s="25"/>
      <c r="I120" s="25"/>
      <c r="J120" s="39"/>
      <c r="P120" s="146"/>
      <c r="Q120" s="146"/>
      <c r="R120" s="146"/>
      <c r="S120" s="146"/>
      <c r="T120" s="146"/>
      <c r="U120" s="146"/>
      <c r="V120" s="146"/>
      <c r="W120" s="146"/>
      <c r="X120" s="146"/>
      <c r="Y120" s="146"/>
      <c r="Z120" s="146"/>
      <c r="AA120" s="146"/>
      <c r="AB120" s="146"/>
      <c r="AC120" s="146"/>
      <c r="AD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6"/>
      <c r="BZ120" s="146"/>
    </row>
    <row r="121" spans="1:78" ht="15" hidden="1" customHeight="1" x14ac:dyDescent="0.2">
      <c r="A121" s="25"/>
      <c r="B121" s="29" t="s">
        <v>54</v>
      </c>
      <c r="C121" s="156">
        <v>1</v>
      </c>
      <c r="D121" s="21" t="s">
        <v>55</v>
      </c>
      <c r="E121" s="25"/>
      <c r="F121" s="25"/>
      <c r="G121" s="25"/>
      <c r="H121" s="25"/>
      <c r="I121" s="25"/>
      <c r="J121" s="39"/>
      <c r="P121" s="146"/>
      <c r="Q121" s="146"/>
      <c r="R121" s="146"/>
      <c r="S121" s="146"/>
      <c r="T121" s="146"/>
      <c r="U121" s="146"/>
      <c r="V121" s="146"/>
      <c r="W121" s="146"/>
      <c r="X121" s="146"/>
      <c r="Y121" s="146"/>
      <c r="Z121" s="146"/>
      <c r="AA121" s="146"/>
      <c r="AB121" s="146"/>
      <c r="AC121" s="146"/>
      <c r="AD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V121" s="146"/>
      <c r="BW121" s="146"/>
      <c r="BX121" s="146"/>
      <c r="BY121" s="146"/>
      <c r="BZ121" s="146"/>
    </row>
    <row r="122" spans="1:78" ht="15" hidden="1" customHeight="1" x14ac:dyDescent="0.2">
      <c r="A122" s="25"/>
      <c r="B122" s="29"/>
      <c r="C122" s="24"/>
      <c r="D122" s="21"/>
      <c r="E122" s="25"/>
      <c r="F122" s="25"/>
      <c r="G122" s="25"/>
      <c r="H122" s="25"/>
      <c r="I122" s="25"/>
      <c r="J122" s="39"/>
      <c r="P122" s="146"/>
      <c r="Q122" s="146"/>
      <c r="R122" s="146"/>
      <c r="S122" s="146"/>
      <c r="T122" s="146"/>
      <c r="U122" s="146"/>
      <c r="V122" s="146"/>
      <c r="W122" s="146"/>
      <c r="X122" s="146"/>
      <c r="Y122" s="146"/>
      <c r="Z122" s="146"/>
      <c r="AA122" s="146"/>
      <c r="AB122" s="146"/>
      <c r="AC122" s="146"/>
      <c r="AD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6"/>
      <c r="BQ122" s="146"/>
      <c r="BR122" s="146"/>
      <c r="BS122" s="146"/>
      <c r="BT122" s="146"/>
      <c r="BU122" s="146"/>
      <c r="BV122" s="146"/>
      <c r="BW122" s="146"/>
      <c r="BX122" s="146"/>
      <c r="BY122" s="146"/>
      <c r="BZ122" s="146"/>
    </row>
    <row r="123" spans="1:78" ht="15" hidden="1" customHeight="1" x14ac:dyDescent="0.2">
      <c r="A123" s="25"/>
      <c r="B123" s="43" t="s">
        <v>60</v>
      </c>
      <c r="C123" s="156">
        <v>3</v>
      </c>
      <c r="D123" s="38">
        <v>1</v>
      </c>
      <c r="E123" s="39" t="s">
        <v>16</v>
      </c>
      <c r="F123" s="25"/>
      <c r="G123" s="25"/>
      <c r="H123" s="25"/>
      <c r="I123" s="25"/>
      <c r="J123" s="39"/>
      <c r="P123" s="146"/>
      <c r="Q123" s="146"/>
      <c r="R123" s="146"/>
      <c r="S123" s="146"/>
      <c r="T123" s="146"/>
      <c r="U123" s="146"/>
      <c r="V123" s="146"/>
      <c r="W123" s="146"/>
      <c r="X123" s="146"/>
      <c r="Y123" s="146"/>
      <c r="Z123" s="146"/>
      <c r="AA123" s="146"/>
      <c r="AB123" s="146"/>
      <c r="AC123" s="146"/>
      <c r="AD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row>
    <row r="124" spans="1:78" ht="15" hidden="1" customHeight="1" x14ac:dyDescent="0.2">
      <c r="A124" s="25"/>
      <c r="B124" s="29"/>
      <c r="C124" s="156" t="str">
        <f>IF(C121=1,"Fill in step 5A",VLOOKUP($C$123,D123:E127,2,FALSE))</f>
        <v>Fill in step 5A</v>
      </c>
      <c r="D124" s="21">
        <v>2</v>
      </c>
      <c r="E124" s="39" t="s">
        <v>61</v>
      </c>
      <c r="F124" s="25"/>
      <c r="G124" s="25"/>
      <c r="H124" s="25"/>
      <c r="I124" s="25"/>
      <c r="J124" s="39"/>
      <c r="P124" s="146"/>
      <c r="Q124" s="146"/>
      <c r="R124" s="146"/>
      <c r="S124" s="146"/>
      <c r="T124" s="146"/>
      <c r="U124" s="146"/>
      <c r="V124" s="146"/>
      <c r="W124" s="146"/>
      <c r="X124" s="146"/>
      <c r="Y124" s="146"/>
      <c r="Z124" s="146"/>
      <c r="AA124" s="146"/>
      <c r="AB124" s="146"/>
      <c r="AC124" s="146"/>
      <c r="AD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6"/>
      <c r="BR124" s="146"/>
      <c r="BS124" s="146"/>
      <c r="BT124" s="146"/>
      <c r="BU124" s="146"/>
      <c r="BV124" s="146"/>
      <c r="BW124" s="146"/>
      <c r="BX124" s="146"/>
      <c r="BY124" s="146"/>
      <c r="BZ124" s="146"/>
    </row>
    <row r="125" spans="1:78" ht="15" hidden="1" customHeight="1" x14ac:dyDescent="0.2">
      <c r="A125" s="25"/>
      <c r="B125" s="29"/>
      <c r="C125" s="24"/>
      <c r="D125" s="21">
        <v>3</v>
      </c>
      <c r="E125" s="39" t="s">
        <v>15</v>
      </c>
      <c r="F125" s="25"/>
      <c r="G125" s="25"/>
      <c r="H125" s="25"/>
      <c r="I125" s="25"/>
      <c r="J125" s="39"/>
      <c r="P125" s="146"/>
      <c r="Q125" s="146"/>
      <c r="R125" s="146"/>
      <c r="S125" s="146"/>
      <c r="T125" s="146"/>
      <c r="U125" s="146"/>
      <c r="V125" s="146"/>
      <c r="W125" s="146"/>
      <c r="X125" s="146"/>
      <c r="Y125" s="146"/>
      <c r="Z125" s="146"/>
      <c r="AA125" s="146"/>
      <c r="AB125" s="146"/>
      <c r="AC125" s="146"/>
      <c r="AD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c r="BQ125" s="146"/>
      <c r="BR125" s="146"/>
      <c r="BS125" s="146"/>
      <c r="BT125" s="146"/>
      <c r="BU125" s="146"/>
      <c r="BV125" s="146"/>
      <c r="BW125" s="146"/>
      <c r="BX125" s="146"/>
      <c r="BY125" s="146"/>
      <c r="BZ125" s="146"/>
    </row>
    <row r="126" spans="1:78" ht="15" hidden="1" customHeight="1" x14ac:dyDescent="0.2">
      <c r="A126" s="25"/>
      <c r="B126" s="43"/>
      <c r="C126" s="24"/>
      <c r="D126" s="21">
        <v>4</v>
      </c>
      <c r="E126" s="39" t="s">
        <v>14</v>
      </c>
      <c r="F126" s="25"/>
      <c r="G126" s="25"/>
      <c r="H126" s="25"/>
      <c r="I126" s="25"/>
      <c r="J126" s="39"/>
      <c r="P126" s="146"/>
      <c r="Q126" s="146"/>
      <c r="R126" s="146"/>
      <c r="S126" s="146"/>
      <c r="T126" s="146"/>
      <c r="U126" s="146"/>
      <c r="V126" s="146"/>
      <c r="W126" s="146"/>
      <c r="X126" s="146"/>
      <c r="Y126" s="146"/>
      <c r="Z126" s="146"/>
      <c r="AA126" s="146"/>
      <c r="AB126" s="146"/>
      <c r="AC126" s="146"/>
      <c r="AD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146"/>
      <c r="BO126" s="146"/>
      <c r="BP126" s="146"/>
      <c r="BQ126" s="146"/>
      <c r="BR126" s="146"/>
      <c r="BS126" s="146"/>
      <c r="BT126" s="146"/>
      <c r="BU126" s="146"/>
      <c r="BV126" s="146"/>
      <c r="BW126" s="146"/>
      <c r="BX126" s="146"/>
      <c r="BY126" s="146"/>
      <c r="BZ126" s="146"/>
    </row>
    <row r="127" spans="1:78" ht="15" hidden="1" customHeight="1" x14ac:dyDescent="0.2">
      <c r="A127" s="25"/>
      <c r="B127" s="29"/>
      <c r="C127" s="24"/>
      <c r="D127" s="21">
        <v>5</v>
      </c>
      <c r="E127" s="39" t="s">
        <v>13</v>
      </c>
      <c r="F127" s="25"/>
      <c r="G127" s="25"/>
      <c r="H127" s="25"/>
      <c r="I127" s="25"/>
      <c r="J127" s="39"/>
      <c r="P127" s="146"/>
      <c r="Q127" s="146"/>
      <c r="R127" s="146"/>
      <c r="S127" s="146"/>
      <c r="T127" s="146"/>
      <c r="U127" s="146"/>
      <c r="V127" s="146"/>
      <c r="W127" s="146"/>
      <c r="X127" s="146"/>
      <c r="Y127" s="146"/>
      <c r="Z127" s="146"/>
      <c r="AA127" s="146"/>
      <c r="AB127" s="146"/>
      <c r="AC127" s="146"/>
      <c r="AD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c r="BV127" s="146"/>
      <c r="BW127" s="146"/>
      <c r="BX127" s="146"/>
      <c r="BY127" s="146"/>
      <c r="BZ127" s="146"/>
    </row>
    <row r="128" spans="1:78" ht="15" hidden="1" customHeight="1" x14ac:dyDescent="0.2">
      <c r="A128" s="25"/>
      <c r="B128" s="29"/>
      <c r="C128" s="24"/>
      <c r="D128" s="21"/>
      <c r="E128" s="25"/>
      <c r="F128" s="25"/>
      <c r="G128" s="25"/>
      <c r="H128" s="25"/>
      <c r="I128" s="25"/>
      <c r="J128" s="39"/>
      <c r="P128" s="146"/>
      <c r="Q128" s="146"/>
      <c r="R128" s="146"/>
      <c r="S128" s="146"/>
      <c r="T128" s="146"/>
      <c r="U128" s="146"/>
      <c r="V128" s="146"/>
      <c r="W128" s="146"/>
      <c r="X128" s="146"/>
      <c r="Y128" s="146"/>
      <c r="Z128" s="146"/>
      <c r="AA128" s="146"/>
      <c r="AB128" s="146"/>
      <c r="AC128" s="146"/>
      <c r="AD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c r="BN128" s="146"/>
      <c r="BO128" s="146"/>
      <c r="BP128" s="146"/>
      <c r="BQ128" s="146"/>
      <c r="BR128" s="146"/>
      <c r="BS128" s="146"/>
      <c r="BT128" s="146"/>
      <c r="BU128" s="146"/>
      <c r="BV128" s="146"/>
      <c r="BW128" s="146"/>
      <c r="BX128" s="146"/>
      <c r="BY128" s="146"/>
      <c r="BZ128" s="146"/>
    </row>
    <row r="129" spans="1:78" ht="15" hidden="1" customHeight="1" x14ac:dyDescent="0.2">
      <c r="A129" s="25"/>
      <c r="B129" s="29"/>
      <c r="C129" s="24"/>
      <c r="D129" s="21"/>
      <c r="E129" s="25"/>
      <c r="F129" s="25"/>
      <c r="G129" s="25"/>
      <c r="H129" s="25"/>
      <c r="I129" s="25"/>
      <c r="J129" s="39"/>
      <c r="P129" s="146"/>
      <c r="Q129" s="146"/>
      <c r="R129" s="146"/>
      <c r="S129" s="146"/>
      <c r="T129" s="146"/>
      <c r="U129" s="146"/>
      <c r="V129" s="146"/>
      <c r="W129" s="146"/>
      <c r="X129" s="146"/>
      <c r="Y129" s="146"/>
      <c r="Z129" s="146"/>
      <c r="AA129" s="146"/>
      <c r="AB129" s="146"/>
      <c r="AC129" s="146"/>
      <c r="AD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146"/>
      <c r="BO129" s="146"/>
      <c r="BP129" s="146"/>
      <c r="BQ129" s="146"/>
      <c r="BR129" s="146"/>
      <c r="BS129" s="146"/>
      <c r="BT129" s="146"/>
      <c r="BU129" s="146"/>
      <c r="BV129" s="146"/>
      <c r="BW129" s="146"/>
      <c r="BX129" s="146"/>
      <c r="BY129" s="146"/>
      <c r="BZ129" s="146"/>
    </row>
    <row r="130" spans="1:78" ht="15" hidden="1" customHeight="1" x14ac:dyDescent="0.2">
      <c r="A130" s="25"/>
      <c r="B130" s="43"/>
      <c r="C130" s="24"/>
      <c r="D130" s="21"/>
      <c r="E130" s="25"/>
      <c r="F130" s="25"/>
      <c r="G130" s="25"/>
      <c r="H130" s="25"/>
      <c r="I130" s="25"/>
      <c r="J130" s="39"/>
      <c r="P130" s="146"/>
      <c r="Q130" s="146"/>
      <c r="R130" s="146"/>
      <c r="S130" s="146"/>
      <c r="T130" s="146"/>
      <c r="U130" s="146"/>
      <c r="V130" s="146"/>
      <c r="W130" s="146"/>
      <c r="X130" s="146"/>
      <c r="Y130" s="146"/>
      <c r="Z130" s="146"/>
      <c r="AA130" s="146"/>
      <c r="AB130" s="146"/>
      <c r="AC130" s="146"/>
      <c r="AD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c r="BQ130" s="146"/>
      <c r="BR130" s="146"/>
      <c r="BS130" s="146"/>
      <c r="BT130" s="146"/>
      <c r="BU130" s="146"/>
      <c r="BV130" s="146"/>
      <c r="BW130" s="146"/>
      <c r="BX130" s="146"/>
      <c r="BY130" s="146"/>
      <c r="BZ130" s="146"/>
    </row>
    <row r="131" spans="1:78" ht="15" hidden="1" customHeight="1" x14ac:dyDescent="0.2">
      <c r="A131" s="35"/>
      <c r="B131" s="43"/>
      <c r="C131" s="35"/>
      <c r="D131" s="35"/>
      <c r="E131" s="35"/>
      <c r="F131" s="35"/>
      <c r="G131" s="35"/>
      <c r="H131" s="35"/>
      <c r="I131" s="35"/>
      <c r="K131" s="35"/>
      <c r="L131" s="35"/>
      <c r="M131" s="35"/>
      <c r="N131" s="35"/>
      <c r="O131" s="35"/>
      <c r="P131" s="146"/>
      <c r="Q131" s="146"/>
      <c r="R131" s="146"/>
      <c r="S131" s="146"/>
      <c r="T131" s="146"/>
      <c r="U131" s="146"/>
      <c r="V131" s="146"/>
      <c r="W131" s="146"/>
      <c r="X131" s="146"/>
      <c r="Y131" s="146"/>
      <c r="Z131" s="146"/>
      <c r="AA131" s="146"/>
      <c r="AB131" s="146"/>
      <c r="AC131" s="146"/>
      <c r="AD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c r="BN131" s="146"/>
      <c r="BO131" s="146"/>
      <c r="BP131" s="146"/>
      <c r="BQ131" s="146"/>
      <c r="BR131" s="146"/>
      <c r="BS131" s="146"/>
      <c r="BT131" s="146"/>
      <c r="BU131" s="146"/>
      <c r="BV131" s="146"/>
      <c r="BW131" s="146"/>
      <c r="BX131" s="146"/>
      <c r="BY131" s="146"/>
      <c r="BZ131" s="146"/>
    </row>
    <row r="132" spans="1:78" ht="36.950000000000003" hidden="1" customHeight="1" x14ac:dyDescent="0.2">
      <c r="A132" s="35"/>
      <c r="B132" s="29"/>
      <c r="C132" s="35"/>
      <c r="D132" s="35"/>
      <c r="E132" s="35"/>
      <c r="F132" s="35"/>
      <c r="G132" s="35"/>
      <c r="H132" s="35"/>
      <c r="I132" s="35"/>
      <c r="K132" s="35"/>
      <c r="L132" s="35"/>
      <c r="M132" s="35"/>
      <c r="N132" s="35"/>
      <c r="O132" s="35"/>
      <c r="P132" s="146"/>
      <c r="Q132" s="146"/>
      <c r="R132" s="146"/>
      <c r="S132" s="146"/>
      <c r="T132" s="146"/>
      <c r="U132" s="146"/>
      <c r="V132" s="146"/>
      <c r="W132" s="146"/>
      <c r="X132" s="146"/>
      <c r="Y132" s="146"/>
      <c r="Z132" s="146"/>
      <c r="AA132" s="146"/>
      <c r="AB132" s="146"/>
      <c r="AC132" s="146"/>
      <c r="AD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6"/>
      <c r="BR132" s="146"/>
      <c r="BS132" s="146"/>
      <c r="BT132" s="146"/>
      <c r="BU132" s="146"/>
      <c r="BV132" s="146"/>
      <c r="BW132" s="146"/>
      <c r="BX132" s="146"/>
      <c r="BY132" s="146"/>
      <c r="BZ132" s="146"/>
    </row>
    <row r="133" spans="1:78" ht="12.75" x14ac:dyDescent="0.2">
      <c r="A133" s="146"/>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146"/>
      <c r="BO133" s="146"/>
      <c r="BP133" s="146"/>
      <c r="BQ133" s="146"/>
      <c r="BR133" s="146"/>
      <c r="BS133" s="146"/>
      <c r="BT133" s="146"/>
      <c r="BU133" s="146"/>
      <c r="BV133" s="146"/>
      <c r="BW133" s="146"/>
      <c r="BX133" s="146"/>
      <c r="BY133" s="146"/>
      <c r="BZ133" s="146"/>
    </row>
    <row r="134" spans="1:78" ht="12.75" x14ac:dyDescent="0.2">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row>
    <row r="135" spans="1:78" ht="12.75" x14ac:dyDescent="0.2">
      <c r="A135" s="146"/>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F135" s="146"/>
      <c r="AG135" s="146"/>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row>
    <row r="136" spans="1:78" ht="12.75" x14ac:dyDescent="0.2">
      <c r="A136" s="146"/>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F136" s="146"/>
      <c r="AG136" s="146"/>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c r="BI136" s="146"/>
      <c r="BJ136" s="146"/>
      <c r="BK136" s="146"/>
      <c r="BL136" s="146"/>
      <c r="BM136" s="146"/>
      <c r="BN136" s="146"/>
      <c r="BO136" s="146"/>
      <c r="BP136" s="146"/>
      <c r="BQ136" s="146"/>
      <c r="BR136" s="146"/>
      <c r="BS136" s="146"/>
      <c r="BT136" s="146"/>
      <c r="BU136" s="146"/>
      <c r="BV136" s="146"/>
      <c r="BW136" s="146"/>
      <c r="BX136" s="146"/>
      <c r="BY136" s="146"/>
      <c r="BZ136" s="146"/>
    </row>
    <row r="137" spans="1:78" ht="12.75" x14ac:dyDescent="0.2">
      <c r="A137" s="146"/>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F137" s="146"/>
      <c r="AG137" s="146"/>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c r="BI137" s="146"/>
      <c r="BJ137" s="146"/>
      <c r="BK137" s="146"/>
      <c r="BL137" s="146"/>
      <c r="BM137" s="146"/>
      <c r="BN137" s="146"/>
      <c r="BO137" s="146"/>
      <c r="BP137" s="146"/>
      <c r="BQ137" s="146"/>
      <c r="BR137" s="146"/>
      <c r="BS137" s="146"/>
      <c r="BT137" s="146"/>
      <c r="BU137" s="146"/>
      <c r="BV137" s="146"/>
      <c r="BW137" s="146"/>
      <c r="BX137" s="146"/>
      <c r="BY137" s="146"/>
      <c r="BZ137" s="146"/>
    </row>
    <row r="138" spans="1:78" ht="12.75" x14ac:dyDescent="0.2">
      <c r="A138" s="146"/>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F138" s="146"/>
      <c r="AG138" s="146"/>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c r="BI138" s="146"/>
      <c r="BJ138" s="146"/>
      <c r="BK138" s="146"/>
      <c r="BL138" s="146"/>
      <c r="BM138" s="146"/>
      <c r="BN138" s="146"/>
      <c r="BO138" s="146"/>
      <c r="BP138" s="146"/>
      <c r="BQ138" s="146"/>
      <c r="BR138" s="146"/>
      <c r="BS138" s="146"/>
      <c r="BT138" s="146"/>
      <c r="BU138" s="146"/>
      <c r="BV138" s="146"/>
      <c r="BW138" s="146"/>
      <c r="BX138" s="146"/>
      <c r="BY138" s="146"/>
      <c r="BZ138" s="146"/>
    </row>
    <row r="139" spans="1:78" ht="12.75" x14ac:dyDescent="0.2">
      <c r="A139" s="146"/>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F139" s="146"/>
      <c r="AG139" s="146"/>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c r="BI139" s="146"/>
      <c r="BJ139" s="146"/>
      <c r="BK139" s="146"/>
      <c r="BL139" s="146"/>
      <c r="BM139" s="146"/>
      <c r="BN139" s="146"/>
      <c r="BO139" s="146"/>
      <c r="BP139" s="146"/>
      <c r="BQ139" s="146"/>
      <c r="BR139" s="146"/>
      <c r="BS139" s="146"/>
      <c r="BT139" s="146"/>
      <c r="BU139" s="146"/>
      <c r="BV139" s="146"/>
      <c r="BW139" s="146"/>
      <c r="BX139" s="146"/>
      <c r="BY139" s="146"/>
      <c r="BZ139" s="146"/>
    </row>
    <row r="140" spans="1:78" ht="12.75" x14ac:dyDescent="0.2">
      <c r="A140" s="146"/>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F140" s="146"/>
      <c r="AG140" s="146"/>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c r="BI140" s="146"/>
      <c r="BJ140" s="146"/>
      <c r="BK140" s="146"/>
      <c r="BL140" s="146"/>
      <c r="BM140" s="146"/>
      <c r="BN140" s="146"/>
      <c r="BO140" s="146"/>
      <c r="BP140" s="146"/>
      <c r="BQ140" s="146"/>
      <c r="BR140" s="146"/>
      <c r="BS140" s="146"/>
      <c r="BT140" s="146"/>
      <c r="BU140" s="146"/>
      <c r="BV140" s="146"/>
      <c r="BW140" s="146"/>
      <c r="BX140" s="146"/>
      <c r="BY140" s="146"/>
      <c r="BZ140" s="146"/>
    </row>
    <row r="141" spans="1:78" ht="12.75" x14ac:dyDescent="0.2">
      <c r="A141" s="146"/>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146"/>
      <c r="BJ141" s="146"/>
      <c r="BK141" s="146"/>
      <c r="BL141" s="146"/>
      <c r="BM141" s="146"/>
      <c r="BN141" s="146"/>
      <c r="BO141" s="146"/>
      <c r="BP141" s="146"/>
      <c r="BQ141" s="146"/>
      <c r="BR141" s="146"/>
      <c r="BS141" s="146"/>
      <c r="BT141" s="146"/>
      <c r="BU141" s="146"/>
      <c r="BV141" s="146"/>
      <c r="BW141" s="146"/>
      <c r="BX141" s="146"/>
      <c r="BY141" s="146"/>
      <c r="BZ141" s="146"/>
    </row>
    <row r="142" spans="1:78" ht="12.75" x14ac:dyDescent="0.2">
      <c r="A142" s="146"/>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c r="BI142" s="146"/>
      <c r="BJ142" s="146"/>
      <c r="BK142" s="146"/>
      <c r="BL142" s="146"/>
      <c r="BM142" s="146"/>
      <c r="BN142" s="146"/>
      <c r="BO142" s="146"/>
      <c r="BP142" s="146"/>
      <c r="BQ142" s="146"/>
      <c r="BR142" s="146"/>
      <c r="BS142" s="146"/>
      <c r="BT142" s="146"/>
      <c r="BU142" s="146"/>
      <c r="BV142" s="146"/>
      <c r="BW142" s="146"/>
      <c r="BX142" s="146"/>
      <c r="BY142" s="146"/>
      <c r="BZ142" s="146"/>
    </row>
    <row r="143" spans="1:78" ht="12.75" x14ac:dyDescent="0.2">
      <c r="A143" s="146"/>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c r="BI143" s="146"/>
      <c r="BJ143" s="146"/>
      <c r="BK143" s="146"/>
      <c r="BL143" s="146"/>
      <c r="BM143" s="146"/>
      <c r="BN143" s="146"/>
      <c r="BO143" s="146"/>
      <c r="BP143" s="146"/>
      <c r="BQ143" s="146"/>
      <c r="BR143" s="146"/>
      <c r="BS143" s="146"/>
      <c r="BT143" s="146"/>
      <c r="BU143" s="146"/>
      <c r="BV143" s="146"/>
      <c r="BW143" s="146"/>
      <c r="BX143" s="146"/>
      <c r="BY143" s="146"/>
      <c r="BZ143" s="146"/>
    </row>
    <row r="144" spans="1:78" ht="12.75" x14ac:dyDescent="0.2">
      <c r="A144" s="146"/>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F144" s="146"/>
      <c r="AG144" s="146"/>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c r="BI144" s="146"/>
      <c r="BJ144" s="146"/>
      <c r="BK144" s="146"/>
      <c r="BL144" s="146"/>
      <c r="BM144" s="146"/>
      <c r="BN144" s="146"/>
      <c r="BO144" s="146"/>
      <c r="BP144" s="146"/>
      <c r="BQ144" s="146"/>
      <c r="BR144" s="146"/>
      <c r="BS144" s="146"/>
      <c r="BT144" s="146"/>
      <c r="BU144" s="146"/>
      <c r="BV144" s="146"/>
      <c r="BW144" s="146"/>
      <c r="BX144" s="146"/>
      <c r="BY144" s="146"/>
      <c r="BZ144" s="146"/>
    </row>
    <row r="145" spans="1:78" ht="12.75" x14ac:dyDescent="0.2">
      <c r="A145" s="146"/>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146"/>
      <c r="BJ145" s="146"/>
      <c r="BK145" s="146"/>
      <c r="BL145" s="146"/>
      <c r="BM145" s="146"/>
      <c r="BN145" s="146"/>
      <c r="BO145" s="146"/>
      <c r="BP145" s="146"/>
      <c r="BQ145" s="146"/>
      <c r="BR145" s="146"/>
      <c r="BS145" s="146"/>
      <c r="BT145" s="146"/>
      <c r="BU145" s="146"/>
      <c r="BV145" s="146"/>
      <c r="BW145" s="146"/>
      <c r="BX145" s="146"/>
      <c r="BY145" s="146"/>
      <c r="BZ145" s="146"/>
    </row>
    <row r="146" spans="1:78" ht="12.75" x14ac:dyDescent="0.2">
      <c r="A146" s="146"/>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146"/>
      <c r="BJ146" s="146"/>
      <c r="BK146" s="146"/>
      <c r="BL146" s="146"/>
      <c r="BM146" s="146"/>
      <c r="BN146" s="146"/>
      <c r="BO146" s="146"/>
      <c r="BP146" s="146"/>
      <c r="BQ146" s="146"/>
      <c r="BR146" s="146"/>
      <c r="BS146" s="146"/>
      <c r="BT146" s="146"/>
      <c r="BU146" s="146"/>
      <c r="BV146" s="146"/>
      <c r="BW146" s="146"/>
      <c r="BX146" s="146"/>
      <c r="BY146" s="146"/>
      <c r="BZ146" s="146"/>
    </row>
    <row r="147" spans="1:78" ht="12.75" x14ac:dyDescent="0.2">
      <c r="A147" s="146"/>
      <c r="B147" s="146"/>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c r="AC147" s="146"/>
      <c r="AD147" s="146"/>
      <c r="AE147" s="176" t="s">
        <v>331</v>
      </c>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146"/>
      <c r="BJ147" s="146"/>
      <c r="BK147" s="146"/>
      <c r="BL147" s="146"/>
      <c r="BM147" s="146"/>
      <c r="BN147" s="146"/>
      <c r="BO147" s="146"/>
      <c r="BP147" s="146"/>
      <c r="BQ147" s="146"/>
      <c r="BR147" s="146"/>
      <c r="BS147" s="146"/>
      <c r="BT147" s="146"/>
      <c r="BU147" s="146"/>
      <c r="BV147" s="146"/>
      <c r="BW147" s="146"/>
      <c r="BX147" s="146"/>
      <c r="BY147" s="146"/>
      <c r="BZ147" s="146"/>
    </row>
    <row r="148" spans="1:78" x14ac:dyDescent="0.2">
      <c r="AE148" s="207">
        <v>0</v>
      </c>
    </row>
    <row r="149" spans="1:78" x14ac:dyDescent="0.2">
      <c r="AE149" s="207">
        <v>0.01</v>
      </c>
    </row>
    <row r="150" spans="1:78" x14ac:dyDescent="0.2">
      <c r="AE150" s="207">
        <v>0.02</v>
      </c>
    </row>
    <row r="151" spans="1:78" x14ac:dyDescent="0.2">
      <c r="AE151" s="207">
        <v>0.03</v>
      </c>
    </row>
    <row r="152" spans="1:78" x14ac:dyDescent="0.2">
      <c r="AE152" s="207">
        <v>0.04</v>
      </c>
    </row>
    <row r="153" spans="1:78" x14ac:dyDescent="0.2">
      <c r="AE153" s="207">
        <v>0.05</v>
      </c>
    </row>
    <row r="154" spans="1:78" x14ac:dyDescent="0.2">
      <c r="AE154" s="207">
        <v>6.0000000000000005E-2</v>
      </c>
    </row>
    <row r="155" spans="1:78" x14ac:dyDescent="0.2">
      <c r="AE155" s="207">
        <v>7.0000000000000007E-2</v>
      </c>
    </row>
    <row r="156" spans="1:78" x14ac:dyDescent="0.2">
      <c r="AE156" s="207">
        <v>0.08</v>
      </c>
    </row>
    <row r="157" spans="1:78" x14ac:dyDescent="0.2">
      <c r="AE157" s="207">
        <v>0.09</v>
      </c>
    </row>
    <row r="158" spans="1:78" x14ac:dyDescent="0.2">
      <c r="AE158" s="207">
        <v>9.9999999999999992E-2</v>
      </c>
    </row>
    <row r="159" spans="1:78" x14ac:dyDescent="0.2">
      <c r="AE159" s="207">
        <v>0.10999999999999999</v>
      </c>
    </row>
    <row r="160" spans="1:78" x14ac:dyDescent="0.2">
      <c r="AE160" s="207">
        <v>0.11999999999999998</v>
      </c>
    </row>
    <row r="161" spans="31:31" x14ac:dyDescent="0.2">
      <c r="AE161" s="207">
        <v>0.12999999999999998</v>
      </c>
    </row>
    <row r="162" spans="31:31" x14ac:dyDescent="0.2">
      <c r="AE162" s="207">
        <v>0.13999999999999999</v>
      </c>
    </row>
    <row r="163" spans="31:31" x14ac:dyDescent="0.2">
      <c r="AE163" s="207">
        <v>0.15</v>
      </c>
    </row>
    <row r="164" spans="31:31" x14ac:dyDescent="0.2">
      <c r="AE164" s="207">
        <v>0.16</v>
      </c>
    </row>
    <row r="165" spans="31:31" x14ac:dyDescent="0.2">
      <c r="AE165" s="207">
        <v>0.17</v>
      </c>
    </row>
    <row r="166" spans="31:31" x14ac:dyDescent="0.2">
      <c r="AE166" s="207">
        <v>0.18000000000000002</v>
      </c>
    </row>
    <row r="167" spans="31:31" x14ac:dyDescent="0.2">
      <c r="AE167" s="207">
        <v>0.19000000000000003</v>
      </c>
    </row>
    <row r="168" spans="31:31" x14ac:dyDescent="0.2">
      <c r="AE168" s="207">
        <v>0.20000000000000004</v>
      </c>
    </row>
    <row r="169" spans="31:31" x14ac:dyDescent="0.2">
      <c r="AE169" s="207">
        <v>0.21000000000000005</v>
      </c>
    </row>
    <row r="170" spans="31:31" x14ac:dyDescent="0.2">
      <c r="AE170" s="207">
        <v>0.22000000000000006</v>
      </c>
    </row>
    <row r="171" spans="31:31" x14ac:dyDescent="0.2">
      <c r="AE171" s="207">
        <v>0.23000000000000007</v>
      </c>
    </row>
    <row r="172" spans="31:31" x14ac:dyDescent="0.2">
      <c r="AE172" s="207">
        <v>0.24000000000000007</v>
      </c>
    </row>
    <row r="173" spans="31:31" x14ac:dyDescent="0.2">
      <c r="AE173" s="207">
        <v>0.25000000000000006</v>
      </c>
    </row>
    <row r="174" spans="31:31" x14ac:dyDescent="0.2">
      <c r="AE174" s="207">
        <v>0.26000000000000006</v>
      </c>
    </row>
    <row r="175" spans="31:31" x14ac:dyDescent="0.2">
      <c r="AE175" s="207">
        <v>0.27000000000000007</v>
      </c>
    </row>
    <row r="176" spans="31:31" x14ac:dyDescent="0.2">
      <c r="AE176" s="207">
        <v>0.28000000000000008</v>
      </c>
    </row>
    <row r="177" spans="31:31" x14ac:dyDescent="0.2">
      <c r="AE177" s="207">
        <v>0.29000000000000009</v>
      </c>
    </row>
    <row r="178" spans="31:31" x14ac:dyDescent="0.2">
      <c r="AE178" s="207">
        <v>0.3000000000000001</v>
      </c>
    </row>
    <row r="179" spans="31:31" x14ac:dyDescent="0.2">
      <c r="AE179" s="207">
        <v>0.31000000000000011</v>
      </c>
    </row>
    <row r="180" spans="31:31" x14ac:dyDescent="0.2">
      <c r="AE180" s="207">
        <v>0.32000000000000012</v>
      </c>
    </row>
    <row r="181" spans="31:31" x14ac:dyDescent="0.2">
      <c r="AE181" s="207">
        <v>0.33000000000000013</v>
      </c>
    </row>
    <row r="182" spans="31:31" x14ac:dyDescent="0.2">
      <c r="AE182" s="207">
        <v>0.34000000000000014</v>
      </c>
    </row>
    <row r="183" spans="31:31" x14ac:dyDescent="0.2">
      <c r="AE183" s="207">
        <v>0.35000000000000014</v>
      </c>
    </row>
    <row r="184" spans="31:31" x14ac:dyDescent="0.2">
      <c r="AE184" s="207">
        <v>0.36000000000000015</v>
      </c>
    </row>
    <row r="185" spans="31:31" x14ac:dyDescent="0.2">
      <c r="AE185" s="207">
        <v>0.37000000000000016</v>
      </c>
    </row>
    <row r="186" spans="31:31" x14ac:dyDescent="0.2">
      <c r="AE186" s="207">
        <v>0.38000000000000017</v>
      </c>
    </row>
    <row r="187" spans="31:31" x14ac:dyDescent="0.2">
      <c r="AE187" s="207">
        <v>0.39000000000000018</v>
      </c>
    </row>
    <row r="188" spans="31:31" x14ac:dyDescent="0.2">
      <c r="AE188" s="207">
        <v>0.40000000000000019</v>
      </c>
    </row>
    <row r="189" spans="31:31" x14ac:dyDescent="0.2">
      <c r="AE189" s="207">
        <v>0.4100000000000002</v>
      </c>
    </row>
    <row r="190" spans="31:31" x14ac:dyDescent="0.2">
      <c r="AE190" s="207">
        <v>0.42000000000000021</v>
      </c>
    </row>
    <row r="191" spans="31:31" x14ac:dyDescent="0.2">
      <c r="AE191" s="207">
        <v>0.43000000000000022</v>
      </c>
    </row>
    <row r="192" spans="31:31" x14ac:dyDescent="0.2">
      <c r="AE192" s="207">
        <v>0.44000000000000022</v>
      </c>
    </row>
    <row r="193" spans="31:31" x14ac:dyDescent="0.2">
      <c r="AE193" s="207">
        <v>0.45000000000000023</v>
      </c>
    </row>
    <row r="194" spans="31:31" x14ac:dyDescent="0.2">
      <c r="AE194" s="207">
        <v>0.46000000000000024</v>
      </c>
    </row>
    <row r="195" spans="31:31" x14ac:dyDescent="0.2">
      <c r="AE195" s="207">
        <v>0.47000000000000025</v>
      </c>
    </row>
    <row r="196" spans="31:31" x14ac:dyDescent="0.2">
      <c r="AE196" s="207">
        <v>0.48000000000000026</v>
      </c>
    </row>
    <row r="197" spans="31:31" x14ac:dyDescent="0.2">
      <c r="AE197" s="207">
        <v>0.49000000000000027</v>
      </c>
    </row>
    <row r="198" spans="31:31" x14ac:dyDescent="0.2">
      <c r="AE198" s="207">
        <v>0.50000000000000022</v>
      </c>
    </row>
    <row r="199" spans="31:31" x14ac:dyDescent="0.2">
      <c r="AE199" s="207">
        <v>0.51000000000000023</v>
      </c>
    </row>
    <row r="200" spans="31:31" x14ac:dyDescent="0.2">
      <c r="AE200" s="207">
        <v>0.52000000000000024</v>
      </c>
    </row>
    <row r="201" spans="31:31" x14ac:dyDescent="0.2">
      <c r="AE201" s="207">
        <v>0.53000000000000025</v>
      </c>
    </row>
    <row r="202" spans="31:31" x14ac:dyDescent="0.2">
      <c r="AE202" s="207">
        <v>0.54000000000000026</v>
      </c>
    </row>
    <row r="203" spans="31:31" x14ac:dyDescent="0.2">
      <c r="AE203" s="207">
        <v>0.55000000000000027</v>
      </c>
    </row>
    <row r="204" spans="31:31" x14ac:dyDescent="0.2">
      <c r="AE204" s="207">
        <v>0.56000000000000028</v>
      </c>
    </row>
    <row r="205" spans="31:31" x14ac:dyDescent="0.2">
      <c r="AE205" s="207">
        <v>0.57000000000000028</v>
      </c>
    </row>
    <row r="206" spans="31:31" x14ac:dyDescent="0.2">
      <c r="AE206" s="207">
        <v>0.58000000000000029</v>
      </c>
    </row>
    <row r="207" spans="31:31" x14ac:dyDescent="0.2">
      <c r="AE207" s="207">
        <v>0.5900000000000003</v>
      </c>
    </row>
    <row r="208" spans="31:31" x14ac:dyDescent="0.2">
      <c r="AE208" s="207">
        <v>0.60000000000000031</v>
      </c>
    </row>
    <row r="209" spans="31:31" x14ac:dyDescent="0.2">
      <c r="AE209" s="207">
        <v>0.61000000000000032</v>
      </c>
    </row>
    <row r="210" spans="31:31" x14ac:dyDescent="0.2">
      <c r="AE210" s="207">
        <v>0.62000000000000033</v>
      </c>
    </row>
    <row r="211" spans="31:31" x14ac:dyDescent="0.2">
      <c r="AE211" s="207">
        <v>0.63000000000000034</v>
      </c>
    </row>
    <row r="212" spans="31:31" x14ac:dyDescent="0.2">
      <c r="AE212" s="207">
        <v>0.64000000000000035</v>
      </c>
    </row>
    <row r="213" spans="31:31" x14ac:dyDescent="0.2">
      <c r="AE213" s="207">
        <v>0.65000000000000036</v>
      </c>
    </row>
    <row r="214" spans="31:31" x14ac:dyDescent="0.2">
      <c r="AE214" s="207">
        <v>0.66000000000000036</v>
      </c>
    </row>
    <row r="215" spans="31:31" x14ac:dyDescent="0.2">
      <c r="AE215" s="207">
        <v>0.67000000000000037</v>
      </c>
    </row>
    <row r="216" spans="31:31" x14ac:dyDescent="0.2">
      <c r="AE216" s="207">
        <v>0.68000000000000038</v>
      </c>
    </row>
    <row r="217" spans="31:31" x14ac:dyDescent="0.2">
      <c r="AE217" s="207">
        <v>0.69000000000000039</v>
      </c>
    </row>
    <row r="218" spans="31:31" x14ac:dyDescent="0.2">
      <c r="AE218" s="207">
        <v>0.7000000000000004</v>
      </c>
    </row>
    <row r="219" spans="31:31" x14ac:dyDescent="0.2">
      <c r="AE219" s="207">
        <v>0.71000000000000041</v>
      </c>
    </row>
    <row r="220" spans="31:31" x14ac:dyDescent="0.2">
      <c r="AE220" s="207">
        <v>0.72000000000000042</v>
      </c>
    </row>
    <row r="221" spans="31:31" x14ac:dyDescent="0.2">
      <c r="AE221" s="207">
        <v>0.73000000000000043</v>
      </c>
    </row>
    <row r="222" spans="31:31" x14ac:dyDescent="0.2">
      <c r="AE222" s="207">
        <v>0.74000000000000044</v>
      </c>
    </row>
    <row r="223" spans="31:31" x14ac:dyDescent="0.2">
      <c r="AE223" s="207">
        <v>0.75000000000000044</v>
      </c>
    </row>
    <row r="224" spans="31:31" x14ac:dyDescent="0.2">
      <c r="AE224" s="207">
        <v>0.76000000000000045</v>
      </c>
    </row>
    <row r="225" spans="31:31" x14ac:dyDescent="0.2">
      <c r="AE225" s="207">
        <v>0.77000000000000046</v>
      </c>
    </row>
    <row r="226" spans="31:31" x14ac:dyDescent="0.2">
      <c r="AE226" s="207">
        <v>0.78000000000000047</v>
      </c>
    </row>
    <row r="227" spans="31:31" x14ac:dyDescent="0.2">
      <c r="AE227" s="207">
        <v>0.79000000000000048</v>
      </c>
    </row>
    <row r="228" spans="31:31" x14ac:dyDescent="0.2">
      <c r="AE228" s="207">
        <v>0.80000000000000049</v>
      </c>
    </row>
    <row r="229" spans="31:31" x14ac:dyDescent="0.2">
      <c r="AE229" s="207">
        <v>0.8100000000000005</v>
      </c>
    </row>
    <row r="230" spans="31:31" x14ac:dyDescent="0.2">
      <c r="AE230" s="207">
        <v>0.82000000000000051</v>
      </c>
    </row>
    <row r="231" spans="31:31" x14ac:dyDescent="0.2">
      <c r="AE231" s="207">
        <v>0.83000000000000052</v>
      </c>
    </row>
    <row r="232" spans="31:31" x14ac:dyDescent="0.2">
      <c r="AE232" s="207">
        <v>0.84000000000000052</v>
      </c>
    </row>
    <row r="233" spans="31:31" x14ac:dyDescent="0.2">
      <c r="AE233" s="207">
        <v>0.85000000000000053</v>
      </c>
    </row>
    <row r="234" spans="31:31" x14ac:dyDescent="0.2">
      <c r="AE234" s="207">
        <v>0.86000000000000054</v>
      </c>
    </row>
    <row r="235" spans="31:31" x14ac:dyDescent="0.2">
      <c r="AE235" s="207">
        <v>0.87000000000000055</v>
      </c>
    </row>
    <row r="236" spans="31:31" x14ac:dyDescent="0.2">
      <c r="AE236" s="207">
        <v>0.88000000000000056</v>
      </c>
    </row>
    <row r="237" spans="31:31" x14ac:dyDescent="0.2">
      <c r="AE237" s="207">
        <v>0.89000000000000057</v>
      </c>
    </row>
    <row r="238" spans="31:31" x14ac:dyDescent="0.2">
      <c r="AE238" s="207">
        <v>0.90000000000000058</v>
      </c>
    </row>
    <row r="239" spans="31:31" x14ac:dyDescent="0.2">
      <c r="AE239" s="207">
        <v>0.91000000000000059</v>
      </c>
    </row>
    <row r="240" spans="31:31" x14ac:dyDescent="0.2">
      <c r="AE240" s="207">
        <v>0.9200000000000006</v>
      </c>
    </row>
    <row r="241" spans="31:31" x14ac:dyDescent="0.2">
      <c r="AE241" s="207">
        <v>0.9300000000000006</v>
      </c>
    </row>
    <row r="242" spans="31:31" x14ac:dyDescent="0.2">
      <c r="AE242" s="207">
        <v>0.94000000000000061</v>
      </c>
    </row>
    <row r="243" spans="31:31" x14ac:dyDescent="0.2">
      <c r="AE243" s="207">
        <v>0.95000000000000062</v>
      </c>
    </row>
    <row r="244" spans="31:31" x14ac:dyDescent="0.2">
      <c r="AE244" s="207">
        <v>0.96000000000000063</v>
      </c>
    </row>
    <row r="245" spans="31:31" x14ac:dyDescent="0.2">
      <c r="AE245" s="207">
        <v>0.97000000000000064</v>
      </c>
    </row>
    <row r="246" spans="31:31" x14ac:dyDescent="0.2">
      <c r="AE246" s="207">
        <v>0.98000000000000065</v>
      </c>
    </row>
    <row r="247" spans="31:31" x14ac:dyDescent="0.2">
      <c r="AE247" s="207">
        <v>0.99000000000000066</v>
      </c>
    </row>
    <row r="248" spans="31:31" x14ac:dyDescent="0.2">
      <c r="AE248" s="207">
        <v>1.0000000000000007</v>
      </c>
    </row>
  </sheetData>
  <sheetProtection password="8CF0" sheet="1" objects="1" scenarios="1" selectLockedCells="1"/>
  <sortState ref="B66:D71">
    <sortCondition ref="C66"/>
  </sortState>
  <mergeCells count="40">
    <mergeCell ref="A6:D6"/>
    <mergeCell ref="V67:X67"/>
    <mergeCell ref="V66:X66"/>
    <mergeCell ref="B58:H58"/>
    <mergeCell ref="E65:F65"/>
    <mergeCell ref="E66:F66"/>
    <mergeCell ref="E67:F67"/>
    <mergeCell ref="G65:I65"/>
    <mergeCell ref="G66:I66"/>
    <mergeCell ref="G67:I67"/>
    <mergeCell ref="A1:J2"/>
    <mergeCell ref="F75:F76"/>
    <mergeCell ref="G75:G76"/>
    <mergeCell ref="F74:G74"/>
    <mergeCell ref="A23:A24"/>
    <mergeCell ref="A20:A22"/>
    <mergeCell ref="B28:D28"/>
    <mergeCell ref="A28:A44"/>
    <mergeCell ref="A25:A26"/>
    <mergeCell ref="A14:A18"/>
    <mergeCell ref="A3:J4"/>
    <mergeCell ref="C7:D7"/>
    <mergeCell ref="A9:A10"/>
    <mergeCell ref="D9:D10"/>
    <mergeCell ref="B9:B10"/>
    <mergeCell ref="E68:F68"/>
    <mergeCell ref="A106:A118"/>
    <mergeCell ref="A46:A56"/>
    <mergeCell ref="B46:D47"/>
    <mergeCell ref="B76:C76"/>
    <mergeCell ref="A58:A104"/>
    <mergeCell ref="B106:D107"/>
    <mergeCell ref="B72:I72"/>
    <mergeCell ref="E69:F69"/>
    <mergeCell ref="E70:F70"/>
    <mergeCell ref="E71:F71"/>
    <mergeCell ref="G68:I68"/>
    <mergeCell ref="G69:I69"/>
    <mergeCell ref="G70:I70"/>
    <mergeCell ref="G71:I71"/>
  </mergeCells>
  <conditionalFormatting sqref="D33:D35 D37:D44">
    <cfRule type="expression" dxfId="54" priority="34">
      <formula>IF(D33=L33,FALSE,TRUE)</formula>
    </cfRule>
  </conditionalFormatting>
  <conditionalFormatting sqref="F93">
    <cfRule type="expression" dxfId="53" priority="24">
      <formula>IF($F$93&gt;$C$9,TRUE,FALSE)</formula>
    </cfRule>
  </conditionalFormatting>
  <conditionalFormatting sqref="G93">
    <cfRule type="expression" dxfId="52" priority="35">
      <formula>IF($G$93&gt;$C$10,TRUE,FALSE)</formula>
    </cfRule>
  </conditionalFormatting>
  <conditionalFormatting sqref="C23">
    <cfRule type="expression" dxfId="51" priority="16">
      <formula>IF(C23&lt;&gt;L23,TRUE,FALSE)</formula>
    </cfRule>
  </conditionalFormatting>
  <conditionalFormatting sqref="L23 A12:C12 A23:C24">
    <cfRule type="expression" dxfId="50" priority="130">
      <formula>IF($C$121=2,TRUE,FALSE)</formula>
    </cfRule>
  </conditionalFormatting>
  <conditionalFormatting sqref="B72">
    <cfRule type="expression" dxfId="49" priority="4">
      <formula>IF($B$72="",TRUE,FALSE)</formula>
    </cfRule>
  </conditionalFormatting>
  <conditionalFormatting sqref="D63:D64">
    <cfRule type="expression" dxfId="48" priority="1">
      <formula>IF(D63=L63,FALSE,TRUE)</formula>
    </cfRule>
  </conditionalFormatting>
  <conditionalFormatting sqref="G66:G71">
    <cfRule type="expression" dxfId="47" priority="150">
      <formula>IF(U66="up",TRUE,FALSE)</formula>
    </cfRule>
  </conditionalFormatting>
  <conditionalFormatting sqref="D77:E86">
    <cfRule type="expression" dxfId="46" priority="152">
      <formula>IF(($D$37+$D$38+$E$77+$E$82)&gt;$L$77,TRUE,FALSE)</formula>
    </cfRule>
  </conditionalFormatting>
  <conditionalFormatting sqref="D87:E88">
    <cfRule type="expression" dxfId="45" priority="153">
      <formula>IF(($D$39+$D$40+$E$87+$E$88)&gt;$L$87,TRUE,FALSE)</formula>
    </cfRule>
  </conditionalFormatting>
  <conditionalFormatting sqref="D89:E90 D92:E92">
    <cfRule type="expression" dxfId="44" priority="154">
      <formula>IF(($D$41+$D$42+$E$89+$E$90+$E$92)&gt;$L$89,TRUE,FALSE)</formula>
    </cfRule>
  </conditionalFormatting>
  <conditionalFormatting sqref="D92:E92">
    <cfRule type="expression" dxfId="43" priority="156">
      <formula>IF($E$92&gt;$K$92,TRUE,FALSE)</formula>
    </cfRule>
  </conditionalFormatting>
  <conditionalFormatting sqref="D87:E87">
    <cfRule type="expression" dxfId="42" priority="159">
      <formula>IF($E$87+$D$39&gt;$K$87,TRUE,FALSE)</formula>
    </cfRule>
  </conditionalFormatting>
  <conditionalFormatting sqref="D77:E81">
    <cfRule type="expression" dxfId="41" priority="160">
      <formula>IF($E$77+$D$37&gt;$K$77,TRUE,FALSE)</formula>
    </cfRule>
  </conditionalFormatting>
  <conditionalFormatting sqref="C24">
    <cfRule type="expression" dxfId="40" priority="161">
      <formula>IF($C$24&lt;&gt;$L$24,TRUE,FALSE)</formula>
    </cfRule>
  </conditionalFormatting>
  <conditionalFormatting sqref="C25">
    <cfRule type="expression" dxfId="39" priority="162">
      <formula>IF($C$25&lt;&gt;$L$25,TRUE,FALSE)</formula>
    </cfRule>
  </conditionalFormatting>
  <conditionalFormatting sqref="C26">
    <cfRule type="expression" dxfId="38" priority="163">
      <formula>IF($C$26&lt;&gt;$L$26,TRUE,FALSE)</formula>
    </cfRule>
  </conditionalFormatting>
  <conditionalFormatting sqref="D82:E86">
    <cfRule type="expression" dxfId="37" priority="164">
      <formula>IF($E$82+$D$38&gt;$K$82,TRUE,FALSE)</formula>
    </cfRule>
  </conditionalFormatting>
  <conditionalFormatting sqref="D88:E88">
    <cfRule type="expression" dxfId="36" priority="165">
      <formula>IF($E$88+$D$40&gt;$K$88,TRUE,FALSE)</formula>
    </cfRule>
  </conditionalFormatting>
  <conditionalFormatting sqref="D89:E89">
    <cfRule type="expression" dxfId="35" priority="166">
      <formula>IF($E$89+$D$41&gt;$K$89,TRUE,FALSE)</formula>
    </cfRule>
  </conditionalFormatting>
  <conditionalFormatting sqref="D90:E90">
    <cfRule type="expression" dxfId="34" priority="167">
      <formula>IF($E$90+$D$42&gt;$K$90,TRUE,FALSE)</formula>
    </cfRule>
  </conditionalFormatting>
  <conditionalFormatting sqref="C66:C71">
    <cfRule type="expression" dxfId="33" priority="170">
      <formula>IF(VLOOKUP($B66,$K$66:$M$71,2,FALSE)=C66,FALSE,TRUE)</formula>
    </cfRule>
  </conditionalFormatting>
  <conditionalFormatting sqref="D66:D71">
    <cfRule type="expression" dxfId="32" priority="171">
      <formula>IF(VLOOKUP($B66,$K$66:$M$71,3,FALSE)=D66,FALSE,TRUE)</formula>
    </cfRule>
  </conditionalFormatting>
  <dataValidations count="14">
    <dataValidation type="whole" allowBlank="1" showInputMessage="1" showErrorMessage="1" sqref="L23 L25 C23 C25 D35 D80:D81 D85:D86 D38 D40 D91" xr:uid="{00000000-0002-0000-0300-000000000000}">
      <formula1>0</formula1>
      <formula2>100</formula2>
    </dataValidation>
    <dataValidation type="whole" operator="greaterThan" allowBlank="1" showInputMessage="1" showErrorMessage="1" sqref="N3:O3 L24 L26:L27 C9:C10 C24 C26 D64" xr:uid="{00000000-0002-0000-0300-000001000000}">
      <formula1>0</formula1>
    </dataValidation>
    <dataValidation allowBlank="1" showDropDown="1" showInputMessage="1" showErrorMessage="1" sqref="M66:M72" xr:uid="{00000000-0002-0000-0300-000002000000}"/>
    <dataValidation type="custom" allowBlank="1" showDropDown="1" showInputMessage="1" showErrorMessage="1" sqref="D66:E71" xr:uid="{00000000-0002-0000-0300-000003000000}">
      <formula1>IF(OR(AND(ISNUMBER(D66),D66&gt;=0,D66&lt;=1),D66="DNE"),TRUE,FALSE)</formula1>
    </dataValidation>
    <dataValidation type="whole" allowBlank="1" showInputMessage="1" showErrorMessage="1" sqref="C8 D63" xr:uid="{00000000-0002-0000-0300-000004000000}">
      <formula1>2012</formula1>
      <formula2>2020</formula2>
    </dataValidation>
    <dataValidation type="list" allowBlank="1" showInputMessage="1" showErrorMessage="1" sqref="C12" xr:uid="{00000000-0002-0000-0300-000005000000}">
      <formula1>INDIRECT($M$6)</formula1>
    </dataValidation>
    <dataValidation type="whole" allowBlank="1" showInputMessage="1" showErrorMessage="1" sqref="C66:C71" xr:uid="{00000000-0002-0000-0300-000006000000}">
      <formula1>1</formula1>
      <formula2>6</formula2>
    </dataValidation>
    <dataValidation type="whole" allowBlank="1" showInputMessage="1" showErrorMessage="1" sqref="D87:D88 D78:D79 D83:D84" xr:uid="{00000000-0002-0000-0300-000007000000}">
      <formula1>0</formula1>
      <formula2>500</formula2>
    </dataValidation>
    <dataValidation type="whole" allowBlank="1" showInputMessage="1" showErrorMessage="1" sqref="D34" xr:uid="{00000000-0002-0000-0300-000008000000}">
      <formula1>0</formula1>
      <formula2>10000</formula2>
    </dataValidation>
    <dataValidation type="decimal" allowBlank="1" showInputMessage="1" showErrorMessage="1" sqref="D43:D44" xr:uid="{00000000-0002-0000-0300-000009000000}">
      <formula1>0</formula1>
      <formula2>4</formula2>
    </dataValidation>
    <dataValidation type="whole" allowBlank="1" showInputMessage="1" showErrorMessage="1" sqref="D37" xr:uid="{00000000-0002-0000-0300-00000A000000}">
      <formula1>0</formula1>
      <formula2>250</formula2>
    </dataValidation>
    <dataValidation type="whole" allowBlank="1" showInputMessage="1" showErrorMessage="1" sqref="D33" xr:uid="{00000000-0002-0000-0300-00000B000000}">
      <formula1>0</formula1>
      <formula2>30000</formula2>
    </dataValidation>
    <dataValidation type="whole" allowBlank="1" showInputMessage="1" showErrorMessage="1" sqref="D39" xr:uid="{00000000-0002-0000-0300-00000C000000}">
      <formula1>0</formula1>
      <formula2>40</formula2>
    </dataValidation>
    <dataValidation type="whole" allowBlank="1" showInputMessage="1" showErrorMessage="1" sqref="D41:D42" xr:uid="{00000000-0002-0000-0300-00000D000000}">
      <formula1>0</formula1>
      <formula2>300</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94" r:id="rId4" name="Group Box 50">
              <controlPr defaultSize="0" autoFill="0" autoPict="0">
                <anchor moveWithCells="1" sizeWithCells="1">
                  <from>
                    <xdr:col>2</xdr:col>
                    <xdr:colOff>38100</xdr:colOff>
                    <xdr:row>10</xdr:row>
                    <xdr:rowOff>19050</xdr:rowOff>
                  </from>
                  <to>
                    <xdr:col>2</xdr:col>
                    <xdr:colOff>1828800</xdr:colOff>
                    <xdr:row>11</xdr:row>
                    <xdr:rowOff>0</xdr:rowOff>
                  </to>
                </anchor>
              </controlPr>
            </control>
          </mc:Choice>
        </mc:AlternateContent>
        <mc:AlternateContent xmlns:mc="http://schemas.openxmlformats.org/markup-compatibility/2006">
          <mc:Choice Requires="x14">
            <control shapeId="6195" r:id="rId5" name="Option Button 51">
              <controlPr locked="0" defaultSize="0" autoFill="0" autoLine="0" autoPict="0" macro="[0]!BART_Station_Hide">
                <anchor moveWithCells="1" sizeWithCells="1">
                  <from>
                    <xdr:col>2</xdr:col>
                    <xdr:colOff>123825</xdr:colOff>
                    <xdr:row>10</xdr:row>
                    <xdr:rowOff>180975</xdr:rowOff>
                  </from>
                  <to>
                    <xdr:col>2</xdr:col>
                    <xdr:colOff>1552575</xdr:colOff>
                    <xdr:row>10</xdr:row>
                    <xdr:rowOff>466725</xdr:rowOff>
                  </to>
                </anchor>
              </controlPr>
            </control>
          </mc:Choice>
        </mc:AlternateContent>
        <mc:AlternateContent xmlns:mc="http://schemas.openxmlformats.org/markup-compatibility/2006">
          <mc:Choice Requires="x14">
            <control shapeId="6196" r:id="rId6" name="Option Button 52">
              <controlPr locked="0" defaultSize="0" autoFill="0" autoLine="0" autoPict="0" macro="[0]!Non_BART_Station_Hide">
                <anchor moveWithCells="1" sizeWithCells="1">
                  <from>
                    <xdr:col>2</xdr:col>
                    <xdr:colOff>133350</xdr:colOff>
                    <xdr:row>10</xdr:row>
                    <xdr:rowOff>533400</xdr:rowOff>
                  </from>
                  <to>
                    <xdr:col>2</xdr:col>
                    <xdr:colOff>1581150</xdr:colOff>
                    <xdr:row>10</xdr:row>
                    <xdr:rowOff>866775</xdr:rowOff>
                  </to>
                </anchor>
              </controlPr>
            </control>
          </mc:Choice>
        </mc:AlternateContent>
        <mc:AlternateContent xmlns:mc="http://schemas.openxmlformats.org/markup-compatibility/2006">
          <mc:Choice Requires="x14">
            <control shapeId="6147" r:id="rId7" name="Group Box 3">
              <controlPr defaultSize="0" autoFill="0" autoPict="0">
                <anchor moveWithCells="1">
                  <from>
                    <xdr:col>1</xdr:col>
                    <xdr:colOff>0</xdr:colOff>
                    <xdr:row>13</xdr:row>
                    <xdr:rowOff>57150</xdr:rowOff>
                  </from>
                  <to>
                    <xdr:col>3</xdr:col>
                    <xdr:colOff>0</xdr:colOff>
                    <xdr:row>21</xdr:row>
                    <xdr:rowOff>447675</xdr:rowOff>
                  </to>
                </anchor>
              </controlPr>
            </control>
          </mc:Choice>
        </mc:AlternateContent>
        <mc:AlternateContent xmlns:mc="http://schemas.openxmlformats.org/markup-compatibility/2006">
          <mc:Choice Requires="x14">
            <control shapeId="6183" r:id="rId8" name="Group Box 39">
              <controlPr defaultSize="0" autoFill="0" autoPict="0">
                <anchor moveWithCells="1">
                  <from>
                    <xdr:col>3</xdr:col>
                    <xdr:colOff>57150</xdr:colOff>
                    <xdr:row>13</xdr:row>
                    <xdr:rowOff>114300</xdr:rowOff>
                  </from>
                  <to>
                    <xdr:col>4</xdr:col>
                    <xdr:colOff>0</xdr:colOff>
                    <xdr:row>14</xdr:row>
                    <xdr:rowOff>0</xdr:rowOff>
                  </to>
                </anchor>
              </controlPr>
            </control>
          </mc:Choice>
        </mc:AlternateContent>
        <mc:AlternateContent xmlns:mc="http://schemas.openxmlformats.org/markup-compatibility/2006">
          <mc:Choice Requires="x14">
            <control shapeId="6191" r:id="rId9" name="Group Box 47">
              <controlPr defaultSize="0" autoFill="0" autoPict="0">
                <anchor moveWithCells="1">
                  <from>
                    <xdr:col>2</xdr:col>
                    <xdr:colOff>28575</xdr:colOff>
                    <xdr:row>13</xdr:row>
                    <xdr:rowOff>0</xdr:rowOff>
                  </from>
                  <to>
                    <xdr:col>2</xdr:col>
                    <xdr:colOff>1828800</xdr:colOff>
                    <xdr:row>14</xdr:row>
                    <xdr:rowOff>0</xdr:rowOff>
                  </to>
                </anchor>
              </controlPr>
            </control>
          </mc:Choice>
        </mc:AlternateContent>
        <mc:AlternateContent xmlns:mc="http://schemas.openxmlformats.org/markup-compatibility/2006">
          <mc:Choice Requires="x14">
            <control shapeId="6192" r:id="rId10" name="Spinner 48">
              <controlPr locked="0" defaultSize="0" autoPict="0">
                <anchor moveWithCells="1" sizeWithCells="1">
                  <from>
                    <xdr:col>2</xdr:col>
                    <xdr:colOff>1571625</xdr:colOff>
                    <xdr:row>7</xdr:row>
                    <xdr:rowOff>19050</xdr:rowOff>
                  </from>
                  <to>
                    <xdr:col>2</xdr:col>
                    <xdr:colOff>1876425</xdr:colOff>
                    <xdr:row>7</xdr:row>
                    <xdr:rowOff>533400</xdr:rowOff>
                  </to>
                </anchor>
              </controlPr>
            </control>
          </mc:Choice>
        </mc:AlternateContent>
        <mc:AlternateContent xmlns:mc="http://schemas.openxmlformats.org/markup-compatibility/2006">
          <mc:Choice Requires="x14">
            <control shapeId="6211" r:id="rId11" name="Scroll Bar 67">
              <controlPr locked="0" defaultSize="0" autoPict="0">
                <anchor moveWithCells="1">
                  <from>
                    <xdr:col>2</xdr:col>
                    <xdr:colOff>819150</xdr:colOff>
                    <xdr:row>32</xdr:row>
                    <xdr:rowOff>47625</xdr:rowOff>
                  </from>
                  <to>
                    <xdr:col>2</xdr:col>
                    <xdr:colOff>1847850</xdr:colOff>
                    <xdr:row>32</xdr:row>
                    <xdr:rowOff>228600</xdr:rowOff>
                  </to>
                </anchor>
              </controlPr>
            </control>
          </mc:Choice>
        </mc:AlternateContent>
        <mc:AlternateContent xmlns:mc="http://schemas.openxmlformats.org/markup-compatibility/2006">
          <mc:Choice Requires="x14">
            <control shapeId="6212" r:id="rId12" name="Scroll Bar 68">
              <controlPr locked="0" defaultSize="0" autoPict="0">
                <anchor moveWithCells="1">
                  <from>
                    <xdr:col>2</xdr:col>
                    <xdr:colOff>819150</xdr:colOff>
                    <xdr:row>33</xdr:row>
                    <xdr:rowOff>47625</xdr:rowOff>
                  </from>
                  <to>
                    <xdr:col>2</xdr:col>
                    <xdr:colOff>1847850</xdr:colOff>
                    <xdr:row>33</xdr:row>
                    <xdr:rowOff>228600</xdr:rowOff>
                  </to>
                </anchor>
              </controlPr>
            </control>
          </mc:Choice>
        </mc:AlternateContent>
        <mc:AlternateContent xmlns:mc="http://schemas.openxmlformats.org/markup-compatibility/2006">
          <mc:Choice Requires="x14">
            <control shapeId="6213" r:id="rId13" name="Scroll Bar 69">
              <controlPr locked="0" defaultSize="0" autoPict="0">
                <anchor moveWithCells="1">
                  <from>
                    <xdr:col>2</xdr:col>
                    <xdr:colOff>819150</xdr:colOff>
                    <xdr:row>34</xdr:row>
                    <xdr:rowOff>47625</xdr:rowOff>
                  </from>
                  <to>
                    <xdr:col>2</xdr:col>
                    <xdr:colOff>1847850</xdr:colOff>
                    <xdr:row>34</xdr:row>
                    <xdr:rowOff>228600</xdr:rowOff>
                  </to>
                </anchor>
              </controlPr>
            </control>
          </mc:Choice>
        </mc:AlternateContent>
        <mc:AlternateContent xmlns:mc="http://schemas.openxmlformats.org/markup-compatibility/2006">
          <mc:Choice Requires="x14">
            <control shapeId="6218" r:id="rId14" name="Scroll Bar 74">
              <controlPr locked="0" defaultSize="0" autoPict="0">
                <anchor moveWithCells="1">
                  <from>
                    <xdr:col>2</xdr:col>
                    <xdr:colOff>819150</xdr:colOff>
                    <xdr:row>42</xdr:row>
                    <xdr:rowOff>47625</xdr:rowOff>
                  </from>
                  <to>
                    <xdr:col>2</xdr:col>
                    <xdr:colOff>1847850</xdr:colOff>
                    <xdr:row>42</xdr:row>
                    <xdr:rowOff>228600</xdr:rowOff>
                  </to>
                </anchor>
              </controlPr>
            </control>
          </mc:Choice>
        </mc:AlternateContent>
        <mc:AlternateContent xmlns:mc="http://schemas.openxmlformats.org/markup-compatibility/2006">
          <mc:Choice Requires="x14">
            <control shapeId="6222" r:id="rId15" name="Scroll Bar 78">
              <controlPr locked="0" defaultSize="0" autoPict="0">
                <anchor moveWithCells="1">
                  <from>
                    <xdr:col>2</xdr:col>
                    <xdr:colOff>819150</xdr:colOff>
                    <xdr:row>36</xdr:row>
                    <xdr:rowOff>47625</xdr:rowOff>
                  </from>
                  <to>
                    <xdr:col>2</xdr:col>
                    <xdr:colOff>1847850</xdr:colOff>
                    <xdr:row>36</xdr:row>
                    <xdr:rowOff>228600</xdr:rowOff>
                  </to>
                </anchor>
              </controlPr>
            </control>
          </mc:Choice>
        </mc:AlternateContent>
        <mc:AlternateContent xmlns:mc="http://schemas.openxmlformats.org/markup-compatibility/2006">
          <mc:Choice Requires="x14">
            <control shapeId="6223" r:id="rId16" name="Scroll Bar 79">
              <controlPr locked="0" defaultSize="0" autoPict="0">
                <anchor moveWithCells="1">
                  <from>
                    <xdr:col>2</xdr:col>
                    <xdr:colOff>819150</xdr:colOff>
                    <xdr:row>37</xdr:row>
                    <xdr:rowOff>47625</xdr:rowOff>
                  </from>
                  <to>
                    <xdr:col>2</xdr:col>
                    <xdr:colOff>1847850</xdr:colOff>
                    <xdr:row>37</xdr:row>
                    <xdr:rowOff>228600</xdr:rowOff>
                  </to>
                </anchor>
              </controlPr>
            </control>
          </mc:Choice>
        </mc:AlternateContent>
        <mc:AlternateContent xmlns:mc="http://schemas.openxmlformats.org/markup-compatibility/2006">
          <mc:Choice Requires="x14">
            <control shapeId="6224" r:id="rId17" name="Scroll Bar 80">
              <controlPr locked="0" defaultSize="0" autoPict="0">
                <anchor moveWithCells="1">
                  <from>
                    <xdr:col>2</xdr:col>
                    <xdr:colOff>819150</xdr:colOff>
                    <xdr:row>38</xdr:row>
                    <xdr:rowOff>47625</xdr:rowOff>
                  </from>
                  <to>
                    <xdr:col>2</xdr:col>
                    <xdr:colOff>1847850</xdr:colOff>
                    <xdr:row>38</xdr:row>
                    <xdr:rowOff>228600</xdr:rowOff>
                  </to>
                </anchor>
              </controlPr>
            </control>
          </mc:Choice>
        </mc:AlternateContent>
        <mc:AlternateContent xmlns:mc="http://schemas.openxmlformats.org/markup-compatibility/2006">
          <mc:Choice Requires="x14">
            <control shapeId="6225" r:id="rId18" name="Scroll Bar 81">
              <controlPr locked="0" defaultSize="0" autoPict="0">
                <anchor moveWithCells="1">
                  <from>
                    <xdr:col>2</xdr:col>
                    <xdr:colOff>819150</xdr:colOff>
                    <xdr:row>39</xdr:row>
                    <xdr:rowOff>47625</xdr:rowOff>
                  </from>
                  <to>
                    <xdr:col>2</xdr:col>
                    <xdr:colOff>1847850</xdr:colOff>
                    <xdr:row>39</xdr:row>
                    <xdr:rowOff>228600</xdr:rowOff>
                  </to>
                </anchor>
              </controlPr>
            </control>
          </mc:Choice>
        </mc:AlternateContent>
        <mc:AlternateContent xmlns:mc="http://schemas.openxmlformats.org/markup-compatibility/2006">
          <mc:Choice Requires="x14">
            <control shapeId="6226" r:id="rId19" name="Scroll Bar 82">
              <controlPr locked="0" defaultSize="0" autoPict="0">
                <anchor moveWithCells="1">
                  <from>
                    <xdr:col>2</xdr:col>
                    <xdr:colOff>819150</xdr:colOff>
                    <xdr:row>40</xdr:row>
                    <xdr:rowOff>47625</xdr:rowOff>
                  </from>
                  <to>
                    <xdr:col>2</xdr:col>
                    <xdr:colOff>1847850</xdr:colOff>
                    <xdr:row>40</xdr:row>
                    <xdr:rowOff>228600</xdr:rowOff>
                  </to>
                </anchor>
              </controlPr>
            </control>
          </mc:Choice>
        </mc:AlternateContent>
        <mc:AlternateContent xmlns:mc="http://schemas.openxmlformats.org/markup-compatibility/2006">
          <mc:Choice Requires="x14">
            <control shapeId="6227" r:id="rId20" name="Scroll Bar 83">
              <controlPr locked="0" defaultSize="0" autoPict="0">
                <anchor moveWithCells="1">
                  <from>
                    <xdr:col>2</xdr:col>
                    <xdr:colOff>819150</xdr:colOff>
                    <xdr:row>41</xdr:row>
                    <xdr:rowOff>47625</xdr:rowOff>
                  </from>
                  <to>
                    <xdr:col>2</xdr:col>
                    <xdr:colOff>1847850</xdr:colOff>
                    <xdr:row>41</xdr:row>
                    <xdr:rowOff>228600</xdr:rowOff>
                  </to>
                </anchor>
              </controlPr>
            </control>
          </mc:Choice>
        </mc:AlternateContent>
        <mc:AlternateContent xmlns:mc="http://schemas.openxmlformats.org/markup-compatibility/2006">
          <mc:Choice Requires="x14">
            <control shapeId="6229" r:id="rId21" name="Scroll Bar 85">
              <controlPr locked="0" defaultSize="0" autoPict="0">
                <anchor moveWithCells="1">
                  <from>
                    <xdr:col>2</xdr:col>
                    <xdr:colOff>819150</xdr:colOff>
                    <xdr:row>43</xdr:row>
                    <xdr:rowOff>47625</xdr:rowOff>
                  </from>
                  <to>
                    <xdr:col>2</xdr:col>
                    <xdr:colOff>1847850</xdr:colOff>
                    <xdr:row>43</xdr:row>
                    <xdr:rowOff>228600</xdr:rowOff>
                  </to>
                </anchor>
              </controlPr>
            </control>
          </mc:Choice>
        </mc:AlternateContent>
        <mc:AlternateContent xmlns:mc="http://schemas.openxmlformats.org/markup-compatibility/2006">
          <mc:Choice Requires="x14">
            <control shapeId="6233" r:id="rId22" name="Button 89">
              <controlPr locked="0" defaultSize="0" print="0" autoFill="0" autoPict="0" macro="[0]!LoadDefaults">
                <anchor moveWithCells="1" sizeWithCells="1">
                  <from>
                    <xdr:col>1</xdr:col>
                    <xdr:colOff>19050</xdr:colOff>
                    <xdr:row>19</xdr:row>
                    <xdr:rowOff>19050</xdr:rowOff>
                  </from>
                  <to>
                    <xdr:col>4</xdr:col>
                    <xdr:colOff>9525</xdr:colOff>
                    <xdr:row>19</xdr:row>
                    <xdr:rowOff>419100</xdr:rowOff>
                  </to>
                </anchor>
              </controlPr>
            </control>
          </mc:Choice>
        </mc:AlternateContent>
        <mc:AlternateContent xmlns:mc="http://schemas.openxmlformats.org/markup-compatibility/2006">
          <mc:Choice Requires="x14">
            <control shapeId="6241" r:id="rId23" name="Scroll Bar 97">
              <controlPr locked="0" defaultSize="0" autoPict="0">
                <anchor moveWithCells="1">
                  <from>
                    <xdr:col>2</xdr:col>
                    <xdr:colOff>819150</xdr:colOff>
                    <xdr:row>87</xdr:row>
                    <xdr:rowOff>47625</xdr:rowOff>
                  </from>
                  <to>
                    <xdr:col>2</xdr:col>
                    <xdr:colOff>1847850</xdr:colOff>
                    <xdr:row>87</xdr:row>
                    <xdr:rowOff>228600</xdr:rowOff>
                  </to>
                </anchor>
              </controlPr>
            </control>
          </mc:Choice>
        </mc:AlternateContent>
        <mc:AlternateContent xmlns:mc="http://schemas.openxmlformats.org/markup-compatibility/2006">
          <mc:Choice Requires="x14">
            <control shapeId="6244" r:id="rId24" name="Scroll Bar 100">
              <controlPr locked="0" defaultSize="0" autoPict="0">
                <anchor moveWithCells="1">
                  <from>
                    <xdr:col>2</xdr:col>
                    <xdr:colOff>819150</xdr:colOff>
                    <xdr:row>90</xdr:row>
                    <xdr:rowOff>47625</xdr:rowOff>
                  </from>
                  <to>
                    <xdr:col>2</xdr:col>
                    <xdr:colOff>1847850</xdr:colOff>
                    <xdr:row>90</xdr:row>
                    <xdr:rowOff>228600</xdr:rowOff>
                  </to>
                </anchor>
              </controlPr>
            </control>
          </mc:Choice>
        </mc:AlternateContent>
        <mc:AlternateContent xmlns:mc="http://schemas.openxmlformats.org/markup-compatibility/2006">
          <mc:Choice Requires="x14">
            <control shapeId="6245" r:id="rId25" name="Scroll Bar 101">
              <controlPr locked="0" defaultSize="0" autoPict="0">
                <anchor moveWithCells="1">
                  <from>
                    <xdr:col>2</xdr:col>
                    <xdr:colOff>819150</xdr:colOff>
                    <xdr:row>91</xdr:row>
                    <xdr:rowOff>47625</xdr:rowOff>
                  </from>
                  <to>
                    <xdr:col>2</xdr:col>
                    <xdr:colOff>1847850</xdr:colOff>
                    <xdr:row>91</xdr:row>
                    <xdr:rowOff>228600</xdr:rowOff>
                  </to>
                </anchor>
              </controlPr>
            </control>
          </mc:Choice>
        </mc:AlternateContent>
        <mc:AlternateContent xmlns:mc="http://schemas.openxmlformats.org/markup-compatibility/2006">
          <mc:Choice Requires="x14">
            <control shapeId="6252" r:id="rId26" name="Scroll Bar 108">
              <controlPr locked="0" defaultSize="0" autoPict="0">
                <anchor moveWithCells="1">
                  <from>
                    <xdr:col>2</xdr:col>
                    <xdr:colOff>819150</xdr:colOff>
                    <xdr:row>86</xdr:row>
                    <xdr:rowOff>47625</xdr:rowOff>
                  </from>
                  <to>
                    <xdr:col>2</xdr:col>
                    <xdr:colOff>1847850</xdr:colOff>
                    <xdr:row>86</xdr:row>
                    <xdr:rowOff>228600</xdr:rowOff>
                  </to>
                </anchor>
              </controlPr>
            </control>
          </mc:Choice>
        </mc:AlternateContent>
        <mc:AlternateContent xmlns:mc="http://schemas.openxmlformats.org/markup-compatibility/2006">
          <mc:Choice Requires="x14">
            <control shapeId="6254" r:id="rId27" name="Scroll Bar 110">
              <controlPr locked="0" defaultSize="0" autoPict="0">
                <anchor moveWithCells="1">
                  <from>
                    <xdr:col>2</xdr:col>
                    <xdr:colOff>819150</xdr:colOff>
                    <xdr:row>88</xdr:row>
                    <xdr:rowOff>47625</xdr:rowOff>
                  </from>
                  <to>
                    <xdr:col>2</xdr:col>
                    <xdr:colOff>1847850</xdr:colOff>
                    <xdr:row>88</xdr:row>
                    <xdr:rowOff>228600</xdr:rowOff>
                  </to>
                </anchor>
              </controlPr>
            </control>
          </mc:Choice>
        </mc:AlternateContent>
        <mc:AlternateContent xmlns:mc="http://schemas.openxmlformats.org/markup-compatibility/2006">
          <mc:Choice Requires="x14">
            <control shapeId="6255" r:id="rId28" name="Scroll Bar 111">
              <controlPr locked="0" defaultSize="0" autoPict="0">
                <anchor moveWithCells="1">
                  <from>
                    <xdr:col>2</xdr:col>
                    <xdr:colOff>819150</xdr:colOff>
                    <xdr:row>89</xdr:row>
                    <xdr:rowOff>47625</xdr:rowOff>
                  </from>
                  <to>
                    <xdr:col>2</xdr:col>
                    <xdr:colOff>1847850</xdr:colOff>
                    <xdr:row>89</xdr:row>
                    <xdr:rowOff>228600</xdr:rowOff>
                  </to>
                </anchor>
              </controlPr>
            </control>
          </mc:Choice>
        </mc:AlternateContent>
        <mc:AlternateContent xmlns:mc="http://schemas.openxmlformats.org/markup-compatibility/2006">
          <mc:Choice Requires="x14">
            <control shapeId="6261" r:id="rId29" name="Spinner 117">
              <controlPr locked="0" defaultSize="0" autoPict="0">
                <anchor moveWithCells="1" sizeWithCells="1">
                  <from>
                    <xdr:col>2</xdr:col>
                    <xdr:colOff>1571625</xdr:colOff>
                    <xdr:row>22</xdr:row>
                    <xdr:rowOff>9525</xdr:rowOff>
                  </from>
                  <to>
                    <xdr:col>2</xdr:col>
                    <xdr:colOff>1876425</xdr:colOff>
                    <xdr:row>23</xdr:row>
                    <xdr:rowOff>0</xdr:rowOff>
                  </to>
                </anchor>
              </controlPr>
            </control>
          </mc:Choice>
        </mc:AlternateContent>
        <mc:AlternateContent xmlns:mc="http://schemas.openxmlformats.org/markup-compatibility/2006">
          <mc:Choice Requires="x14">
            <control shapeId="6262" r:id="rId30" name="Spinner 118">
              <controlPr locked="0" defaultSize="0" autoPict="0">
                <anchor moveWithCells="1" sizeWithCells="1">
                  <from>
                    <xdr:col>2</xdr:col>
                    <xdr:colOff>1571625</xdr:colOff>
                    <xdr:row>24</xdr:row>
                    <xdr:rowOff>9525</xdr:rowOff>
                  </from>
                  <to>
                    <xdr:col>2</xdr:col>
                    <xdr:colOff>1876425</xdr:colOff>
                    <xdr:row>25</xdr:row>
                    <xdr:rowOff>0</xdr:rowOff>
                  </to>
                </anchor>
              </controlPr>
            </control>
          </mc:Choice>
        </mc:AlternateContent>
        <mc:AlternateContent xmlns:mc="http://schemas.openxmlformats.org/markup-compatibility/2006">
          <mc:Choice Requires="x14">
            <control shapeId="6276" r:id="rId31" name="Scroll Bar 132">
              <controlPr locked="0" defaultSize="0" autoPict="0">
                <anchor moveWithCells="1">
                  <from>
                    <xdr:col>2</xdr:col>
                    <xdr:colOff>819150</xdr:colOff>
                    <xdr:row>77</xdr:row>
                    <xdr:rowOff>47625</xdr:rowOff>
                  </from>
                  <to>
                    <xdr:col>2</xdr:col>
                    <xdr:colOff>1847850</xdr:colOff>
                    <xdr:row>77</xdr:row>
                    <xdr:rowOff>228600</xdr:rowOff>
                  </to>
                </anchor>
              </controlPr>
            </control>
          </mc:Choice>
        </mc:AlternateContent>
        <mc:AlternateContent xmlns:mc="http://schemas.openxmlformats.org/markup-compatibility/2006">
          <mc:Choice Requires="x14">
            <control shapeId="6277" r:id="rId32" name="Scroll Bar 133">
              <controlPr locked="0" defaultSize="0" autoPict="0">
                <anchor moveWithCells="1">
                  <from>
                    <xdr:col>2</xdr:col>
                    <xdr:colOff>819150</xdr:colOff>
                    <xdr:row>78</xdr:row>
                    <xdr:rowOff>47625</xdr:rowOff>
                  </from>
                  <to>
                    <xdr:col>2</xdr:col>
                    <xdr:colOff>1847850</xdr:colOff>
                    <xdr:row>78</xdr:row>
                    <xdr:rowOff>228600</xdr:rowOff>
                  </to>
                </anchor>
              </controlPr>
            </control>
          </mc:Choice>
        </mc:AlternateContent>
        <mc:AlternateContent xmlns:mc="http://schemas.openxmlformats.org/markup-compatibility/2006">
          <mc:Choice Requires="x14">
            <control shapeId="6278" r:id="rId33" name="Scroll Bar 134">
              <controlPr locked="0" defaultSize="0" autoPict="0">
                <anchor moveWithCells="1">
                  <from>
                    <xdr:col>2</xdr:col>
                    <xdr:colOff>819150</xdr:colOff>
                    <xdr:row>79</xdr:row>
                    <xdr:rowOff>47625</xdr:rowOff>
                  </from>
                  <to>
                    <xdr:col>2</xdr:col>
                    <xdr:colOff>1847850</xdr:colOff>
                    <xdr:row>79</xdr:row>
                    <xdr:rowOff>228600</xdr:rowOff>
                  </to>
                </anchor>
              </controlPr>
            </control>
          </mc:Choice>
        </mc:AlternateContent>
        <mc:AlternateContent xmlns:mc="http://schemas.openxmlformats.org/markup-compatibility/2006">
          <mc:Choice Requires="x14">
            <control shapeId="6279" r:id="rId34" name="Scroll Bar 135">
              <controlPr locked="0" defaultSize="0" autoPict="0">
                <anchor moveWithCells="1">
                  <from>
                    <xdr:col>2</xdr:col>
                    <xdr:colOff>819150</xdr:colOff>
                    <xdr:row>80</xdr:row>
                    <xdr:rowOff>47625</xdr:rowOff>
                  </from>
                  <to>
                    <xdr:col>2</xdr:col>
                    <xdr:colOff>1847850</xdr:colOff>
                    <xdr:row>80</xdr:row>
                    <xdr:rowOff>228600</xdr:rowOff>
                  </to>
                </anchor>
              </controlPr>
            </control>
          </mc:Choice>
        </mc:AlternateContent>
        <mc:AlternateContent xmlns:mc="http://schemas.openxmlformats.org/markup-compatibility/2006">
          <mc:Choice Requires="x14">
            <control shapeId="6280" r:id="rId35" name="Scroll Bar 136">
              <controlPr locked="0" defaultSize="0" autoPict="0">
                <anchor moveWithCells="1">
                  <from>
                    <xdr:col>2</xdr:col>
                    <xdr:colOff>819150</xdr:colOff>
                    <xdr:row>82</xdr:row>
                    <xdr:rowOff>47625</xdr:rowOff>
                  </from>
                  <to>
                    <xdr:col>2</xdr:col>
                    <xdr:colOff>1847850</xdr:colOff>
                    <xdr:row>82</xdr:row>
                    <xdr:rowOff>228600</xdr:rowOff>
                  </to>
                </anchor>
              </controlPr>
            </control>
          </mc:Choice>
        </mc:AlternateContent>
        <mc:AlternateContent xmlns:mc="http://schemas.openxmlformats.org/markup-compatibility/2006">
          <mc:Choice Requires="x14">
            <control shapeId="6281" r:id="rId36" name="Scroll Bar 137">
              <controlPr locked="0" defaultSize="0" autoPict="0">
                <anchor moveWithCells="1">
                  <from>
                    <xdr:col>2</xdr:col>
                    <xdr:colOff>819150</xdr:colOff>
                    <xdr:row>83</xdr:row>
                    <xdr:rowOff>47625</xdr:rowOff>
                  </from>
                  <to>
                    <xdr:col>2</xdr:col>
                    <xdr:colOff>1847850</xdr:colOff>
                    <xdr:row>83</xdr:row>
                    <xdr:rowOff>228600</xdr:rowOff>
                  </to>
                </anchor>
              </controlPr>
            </control>
          </mc:Choice>
        </mc:AlternateContent>
        <mc:AlternateContent xmlns:mc="http://schemas.openxmlformats.org/markup-compatibility/2006">
          <mc:Choice Requires="x14">
            <control shapeId="6282" r:id="rId37" name="Scroll Bar 138">
              <controlPr locked="0" defaultSize="0" autoPict="0">
                <anchor moveWithCells="1">
                  <from>
                    <xdr:col>2</xdr:col>
                    <xdr:colOff>819150</xdr:colOff>
                    <xdr:row>84</xdr:row>
                    <xdr:rowOff>47625</xdr:rowOff>
                  </from>
                  <to>
                    <xdr:col>2</xdr:col>
                    <xdr:colOff>1847850</xdr:colOff>
                    <xdr:row>84</xdr:row>
                    <xdr:rowOff>228600</xdr:rowOff>
                  </to>
                </anchor>
              </controlPr>
            </control>
          </mc:Choice>
        </mc:AlternateContent>
        <mc:AlternateContent xmlns:mc="http://schemas.openxmlformats.org/markup-compatibility/2006">
          <mc:Choice Requires="x14">
            <control shapeId="6283" r:id="rId38" name="Scroll Bar 139">
              <controlPr locked="0" defaultSize="0" autoPict="0">
                <anchor moveWithCells="1">
                  <from>
                    <xdr:col>2</xdr:col>
                    <xdr:colOff>819150</xdr:colOff>
                    <xdr:row>85</xdr:row>
                    <xdr:rowOff>47625</xdr:rowOff>
                  </from>
                  <to>
                    <xdr:col>2</xdr:col>
                    <xdr:colOff>1847850</xdr:colOff>
                    <xdr:row>85</xdr:row>
                    <xdr:rowOff>228600</xdr:rowOff>
                  </to>
                </anchor>
              </controlPr>
            </control>
          </mc:Choice>
        </mc:AlternateContent>
        <mc:AlternateContent xmlns:mc="http://schemas.openxmlformats.org/markup-compatibility/2006">
          <mc:Choice Requires="x14">
            <control shapeId="6284" r:id="rId39" name="Spinner 140">
              <controlPr defaultSize="0" autoPict="0">
                <anchor moveWithCells="1" sizeWithCells="1">
                  <from>
                    <xdr:col>11</xdr:col>
                    <xdr:colOff>1571625</xdr:colOff>
                    <xdr:row>22</xdr:row>
                    <xdr:rowOff>9525</xdr:rowOff>
                  </from>
                  <to>
                    <xdr:col>11</xdr:col>
                    <xdr:colOff>1876425</xdr:colOff>
                    <xdr:row>23</xdr:row>
                    <xdr:rowOff>0</xdr:rowOff>
                  </to>
                </anchor>
              </controlPr>
            </control>
          </mc:Choice>
        </mc:AlternateContent>
        <mc:AlternateContent xmlns:mc="http://schemas.openxmlformats.org/markup-compatibility/2006">
          <mc:Choice Requires="x14">
            <control shapeId="6285" r:id="rId40" name="Spinner 141">
              <controlPr defaultSize="0" autoPict="0">
                <anchor moveWithCells="1" sizeWithCells="1">
                  <from>
                    <xdr:col>11</xdr:col>
                    <xdr:colOff>1571625</xdr:colOff>
                    <xdr:row>24</xdr:row>
                    <xdr:rowOff>9525</xdr:rowOff>
                  </from>
                  <to>
                    <xdr:col>11</xdr:col>
                    <xdr:colOff>1876425</xdr:colOff>
                    <xdr:row>25</xdr:row>
                    <xdr:rowOff>0</xdr:rowOff>
                  </to>
                </anchor>
              </controlPr>
            </control>
          </mc:Choice>
        </mc:AlternateContent>
        <mc:AlternateContent xmlns:mc="http://schemas.openxmlformats.org/markup-compatibility/2006">
          <mc:Choice Requires="x14">
            <control shapeId="6286" r:id="rId41" name="Button 142">
              <controlPr locked="0" defaultSize="0" print="0" autoFill="0" autoPict="0" macro="[0]!BARTModeReload">
                <anchor moveWithCells="1" sizeWithCells="1">
                  <from>
                    <xdr:col>3</xdr:col>
                    <xdr:colOff>38100</xdr:colOff>
                    <xdr:row>22</xdr:row>
                    <xdr:rowOff>57150</xdr:rowOff>
                  </from>
                  <to>
                    <xdr:col>3</xdr:col>
                    <xdr:colOff>838200</xdr:colOff>
                    <xdr:row>22</xdr:row>
                    <xdr:rowOff>704850</xdr:rowOff>
                  </to>
                </anchor>
              </controlPr>
            </control>
          </mc:Choice>
        </mc:AlternateContent>
        <mc:AlternateContent xmlns:mc="http://schemas.openxmlformats.org/markup-compatibility/2006">
          <mc:Choice Requires="x14">
            <control shapeId="6287" r:id="rId42" name="Button 143">
              <controlPr locked="0" defaultSize="0" print="0" autoFill="0" autoPict="0" macro="[0]!BARTRiderReload">
                <anchor moveWithCells="1" sizeWithCells="1">
                  <from>
                    <xdr:col>3</xdr:col>
                    <xdr:colOff>38100</xdr:colOff>
                    <xdr:row>23</xdr:row>
                    <xdr:rowOff>57150</xdr:rowOff>
                  </from>
                  <to>
                    <xdr:col>3</xdr:col>
                    <xdr:colOff>838200</xdr:colOff>
                    <xdr:row>23</xdr:row>
                    <xdr:rowOff>704850</xdr:rowOff>
                  </to>
                </anchor>
              </controlPr>
            </control>
          </mc:Choice>
        </mc:AlternateContent>
        <mc:AlternateContent xmlns:mc="http://schemas.openxmlformats.org/markup-compatibility/2006">
          <mc:Choice Requires="x14">
            <control shapeId="6288" r:id="rId43" name="Button 144">
              <controlPr locked="0" defaultSize="0" print="0" autoFill="0" autoPict="0" macro="[0]!PopHalfMileReload">
                <anchor moveWithCells="1" sizeWithCells="1">
                  <from>
                    <xdr:col>4</xdr:col>
                    <xdr:colOff>57150</xdr:colOff>
                    <xdr:row>32</xdr:row>
                    <xdr:rowOff>19050</xdr:rowOff>
                  </from>
                  <to>
                    <xdr:col>5</xdr:col>
                    <xdr:colOff>609600</xdr:colOff>
                    <xdr:row>32</xdr:row>
                    <xdr:rowOff>247650</xdr:rowOff>
                  </to>
                </anchor>
              </controlPr>
            </control>
          </mc:Choice>
        </mc:AlternateContent>
        <mc:AlternateContent xmlns:mc="http://schemas.openxmlformats.org/markup-compatibility/2006">
          <mc:Choice Requires="x14">
            <control shapeId="6291" r:id="rId44" name="Button 147">
              <controlPr locked="0" defaultSize="0" print="0" autoFill="0" autoPict="0" macro="[0]!VehParkReload">
                <anchor moveWithCells="1" sizeWithCells="1">
                  <from>
                    <xdr:col>4</xdr:col>
                    <xdr:colOff>66675</xdr:colOff>
                    <xdr:row>33</xdr:row>
                    <xdr:rowOff>19050</xdr:rowOff>
                  </from>
                  <to>
                    <xdr:col>5</xdr:col>
                    <xdr:colOff>619125</xdr:colOff>
                    <xdr:row>33</xdr:row>
                    <xdr:rowOff>247650</xdr:rowOff>
                  </to>
                </anchor>
              </controlPr>
            </control>
          </mc:Choice>
        </mc:AlternateContent>
        <mc:AlternateContent xmlns:mc="http://schemas.openxmlformats.org/markup-compatibility/2006">
          <mc:Choice Requires="x14">
            <control shapeId="6293" r:id="rId45" name="Button 149">
              <controlPr locked="0" defaultSize="0" print="0" autoFill="0" autoPict="0" macro="[0]!RackOutsideReload">
                <anchor moveWithCells="1" sizeWithCells="1">
                  <from>
                    <xdr:col>4</xdr:col>
                    <xdr:colOff>57150</xdr:colOff>
                    <xdr:row>36</xdr:row>
                    <xdr:rowOff>19050</xdr:rowOff>
                  </from>
                  <to>
                    <xdr:col>5</xdr:col>
                    <xdr:colOff>609600</xdr:colOff>
                    <xdr:row>36</xdr:row>
                    <xdr:rowOff>247650</xdr:rowOff>
                  </to>
                </anchor>
              </controlPr>
            </control>
          </mc:Choice>
        </mc:AlternateContent>
        <mc:AlternateContent xmlns:mc="http://schemas.openxmlformats.org/markup-compatibility/2006">
          <mc:Choice Requires="x14">
            <control shapeId="6294" r:id="rId46" name="Button 150">
              <controlPr locked="0" defaultSize="0" print="0" autoFill="0" autoPict="0" macro="[0]!RackInsideReload">
                <anchor moveWithCells="1" sizeWithCells="1">
                  <from>
                    <xdr:col>4</xdr:col>
                    <xdr:colOff>57150</xdr:colOff>
                    <xdr:row>37</xdr:row>
                    <xdr:rowOff>19050</xdr:rowOff>
                  </from>
                  <to>
                    <xdr:col>5</xdr:col>
                    <xdr:colOff>609600</xdr:colOff>
                    <xdr:row>37</xdr:row>
                    <xdr:rowOff>247650</xdr:rowOff>
                  </to>
                </anchor>
              </controlPr>
            </control>
          </mc:Choice>
        </mc:AlternateContent>
        <mc:AlternateContent xmlns:mc="http://schemas.openxmlformats.org/markup-compatibility/2006">
          <mc:Choice Requires="x14">
            <control shapeId="6295" r:id="rId47" name="Button 151">
              <controlPr locked="0" defaultSize="0" print="0" autoFill="0" autoPict="0" macro="[0]!KeyLockerReload">
                <anchor moveWithCells="1" sizeWithCells="1">
                  <from>
                    <xdr:col>4</xdr:col>
                    <xdr:colOff>57150</xdr:colOff>
                    <xdr:row>38</xdr:row>
                    <xdr:rowOff>19050</xdr:rowOff>
                  </from>
                  <to>
                    <xdr:col>5</xdr:col>
                    <xdr:colOff>609600</xdr:colOff>
                    <xdr:row>38</xdr:row>
                    <xdr:rowOff>247650</xdr:rowOff>
                  </to>
                </anchor>
              </controlPr>
            </control>
          </mc:Choice>
        </mc:AlternateContent>
        <mc:AlternateContent xmlns:mc="http://schemas.openxmlformats.org/markup-compatibility/2006">
          <mc:Choice Requires="x14">
            <control shapeId="6296" r:id="rId48" name="Button 152">
              <controlPr locked="0" defaultSize="0" print="0" autoFill="0" autoPict="0" macro="[0]!ELockerReload">
                <anchor moveWithCells="1" sizeWithCells="1">
                  <from>
                    <xdr:col>4</xdr:col>
                    <xdr:colOff>57150</xdr:colOff>
                    <xdr:row>39</xdr:row>
                    <xdr:rowOff>19050</xdr:rowOff>
                  </from>
                  <to>
                    <xdr:col>5</xdr:col>
                    <xdr:colOff>609600</xdr:colOff>
                    <xdr:row>39</xdr:row>
                    <xdr:rowOff>247650</xdr:rowOff>
                  </to>
                </anchor>
              </controlPr>
            </control>
          </mc:Choice>
        </mc:AlternateContent>
        <mc:AlternateContent xmlns:mc="http://schemas.openxmlformats.org/markup-compatibility/2006">
          <mc:Choice Requires="x14">
            <control shapeId="6297" r:id="rId49" name="Button 153">
              <controlPr locked="0" defaultSize="0" print="0" autoFill="0" autoPict="0" macro="[0]!SelfServeReload">
                <anchor moveWithCells="1" sizeWithCells="1">
                  <from>
                    <xdr:col>4</xdr:col>
                    <xdr:colOff>57150</xdr:colOff>
                    <xdr:row>40</xdr:row>
                    <xdr:rowOff>19050</xdr:rowOff>
                  </from>
                  <to>
                    <xdr:col>5</xdr:col>
                    <xdr:colOff>609600</xdr:colOff>
                    <xdr:row>40</xdr:row>
                    <xdr:rowOff>247650</xdr:rowOff>
                  </to>
                </anchor>
              </controlPr>
            </control>
          </mc:Choice>
        </mc:AlternateContent>
        <mc:AlternateContent xmlns:mc="http://schemas.openxmlformats.org/markup-compatibility/2006">
          <mc:Choice Requires="x14">
            <control shapeId="6298" r:id="rId50" name="Button 154">
              <controlPr locked="0" defaultSize="0" print="0" autoFill="0" autoPict="0" macro="[0]!AttendedReload">
                <anchor moveWithCells="1" sizeWithCells="1">
                  <from>
                    <xdr:col>4</xdr:col>
                    <xdr:colOff>57150</xdr:colOff>
                    <xdr:row>41</xdr:row>
                    <xdr:rowOff>19050</xdr:rowOff>
                  </from>
                  <to>
                    <xdr:col>5</xdr:col>
                    <xdr:colOff>609600</xdr:colOff>
                    <xdr:row>41</xdr:row>
                    <xdr:rowOff>247650</xdr:rowOff>
                  </to>
                </anchor>
              </controlPr>
            </control>
          </mc:Choice>
        </mc:AlternateContent>
        <mc:AlternateContent xmlns:mc="http://schemas.openxmlformats.org/markup-compatibility/2006">
          <mc:Choice Requires="x14">
            <control shapeId="6299" r:id="rId51" name="Button 155">
              <controlPr locked="0" defaultSize="0" print="0" autoFill="0" autoPict="0" macro="[0]!SecurityReload">
                <anchor moveWithCells="1" sizeWithCells="1">
                  <from>
                    <xdr:col>4</xdr:col>
                    <xdr:colOff>57150</xdr:colOff>
                    <xdr:row>42</xdr:row>
                    <xdr:rowOff>19050</xdr:rowOff>
                  </from>
                  <to>
                    <xdr:col>5</xdr:col>
                    <xdr:colOff>609600</xdr:colOff>
                    <xdr:row>42</xdr:row>
                    <xdr:rowOff>247650</xdr:rowOff>
                  </to>
                </anchor>
              </controlPr>
            </control>
          </mc:Choice>
        </mc:AlternateContent>
        <mc:AlternateContent xmlns:mc="http://schemas.openxmlformats.org/markup-compatibility/2006">
          <mc:Choice Requires="x14">
            <control shapeId="6300" r:id="rId52" name="Button 156">
              <controlPr locked="0" defaultSize="0" print="0" autoFill="0" autoPict="0" macro="[0]!LightingReload">
                <anchor moveWithCells="1" sizeWithCells="1">
                  <from>
                    <xdr:col>4</xdr:col>
                    <xdr:colOff>57150</xdr:colOff>
                    <xdr:row>43</xdr:row>
                    <xdr:rowOff>19050</xdr:rowOff>
                  </from>
                  <to>
                    <xdr:col>5</xdr:col>
                    <xdr:colOff>609600</xdr:colOff>
                    <xdr:row>43</xdr:row>
                    <xdr:rowOff>247650</xdr:rowOff>
                  </to>
                </anchor>
              </controlPr>
            </control>
          </mc:Choice>
        </mc:AlternateContent>
        <mc:AlternateContent xmlns:mc="http://schemas.openxmlformats.org/markup-compatibility/2006">
          <mc:Choice Requires="x14">
            <control shapeId="6301" r:id="rId53" name="Button 157">
              <controlPr locked="0" defaultSize="0" print="0" autoFill="0" autoPict="0" macro="[0]!BlackoutReload">
                <anchor moveWithCells="1" sizeWithCells="1">
                  <from>
                    <xdr:col>4</xdr:col>
                    <xdr:colOff>57150</xdr:colOff>
                    <xdr:row>34</xdr:row>
                    <xdr:rowOff>19050</xdr:rowOff>
                  </from>
                  <to>
                    <xdr:col>5</xdr:col>
                    <xdr:colOff>609600</xdr:colOff>
                    <xdr:row>34</xdr:row>
                    <xdr:rowOff>247650</xdr:rowOff>
                  </to>
                </anchor>
              </controlPr>
            </control>
          </mc:Choice>
        </mc:AlternateContent>
        <mc:AlternateContent xmlns:mc="http://schemas.openxmlformats.org/markup-compatibility/2006">
          <mc:Choice Requires="x14">
            <control shapeId="6302" r:id="rId54" name="Button 158">
              <controlPr locked="0" defaultSize="0" print="0" autoFill="0" autoPict="0" macro="[0]!NonBARTModeReload">
                <anchor moveWithCells="1" sizeWithCells="1">
                  <from>
                    <xdr:col>3</xdr:col>
                    <xdr:colOff>66675</xdr:colOff>
                    <xdr:row>24</xdr:row>
                    <xdr:rowOff>47625</xdr:rowOff>
                  </from>
                  <to>
                    <xdr:col>3</xdr:col>
                    <xdr:colOff>866775</xdr:colOff>
                    <xdr:row>24</xdr:row>
                    <xdr:rowOff>695325</xdr:rowOff>
                  </to>
                </anchor>
              </controlPr>
            </control>
          </mc:Choice>
        </mc:AlternateContent>
        <mc:AlternateContent xmlns:mc="http://schemas.openxmlformats.org/markup-compatibility/2006">
          <mc:Choice Requires="x14">
            <control shapeId="6303" r:id="rId55" name="Button 159">
              <controlPr locked="0" defaultSize="0" print="0" autoFill="0" autoPict="0" macro="[0]!NonBARTRiderReload">
                <anchor moveWithCells="1" sizeWithCells="1">
                  <from>
                    <xdr:col>3</xdr:col>
                    <xdr:colOff>66675</xdr:colOff>
                    <xdr:row>25</xdr:row>
                    <xdr:rowOff>47625</xdr:rowOff>
                  </from>
                  <to>
                    <xdr:col>3</xdr:col>
                    <xdr:colOff>866775</xdr:colOff>
                    <xdr:row>25</xdr:row>
                    <xdr:rowOff>695325</xdr:rowOff>
                  </to>
                </anchor>
              </controlPr>
            </control>
          </mc:Choice>
        </mc:AlternateContent>
        <mc:AlternateContent xmlns:mc="http://schemas.openxmlformats.org/markup-compatibility/2006">
          <mc:Choice Requires="x14">
            <control shapeId="6305" r:id="rId56" name="Option Button 161">
              <controlPr locked="0" defaultSize="0" autoFill="0" autoLine="0" autoPict="0">
                <anchor moveWithCells="1">
                  <from>
                    <xdr:col>1</xdr:col>
                    <xdr:colOff>1200150</xdr:colOff>
                    <xdr:row>16</xdr:row>
                    <xdr:rowOff>209550</xdr:rowOff>
                  </from>
                  <to>
                    <xdr:col>1</xdr:col>
                    <xdr:colOff>1504950</xdr:colOff>
                    <xdr:row>18</xdr:row>
                    <xdr:rowOff>219075</xdr:rowOff>
                  </to>
                </anchor>
              </controlPr>
            </control>
          </mc:Choice>
        </mc:AlternateContent>
        <mc:AlternateContent xmlns:mc="http://schemas.openxmlformats.org/markup-compatibility/2006">
          <mc:Choice Requires="x14">
            <control shapeId="6306" r:id="rId57" name="Option Button 162">
              <controlPr locked="0" defaultSize="0" autoFill="0" autoLine="0" autoPict="0">
                <anchor moveWithCells="1">
                  <from>
                    <xdr:col>1</xdr:col>
                    <xdr:colOff>1990725</xdr:colOff>
                    <xdr:row>16</xdr:row>
                    <xdr:rowOff>209550</xdr:rowOff>
                  </from>
                  <to>
                    <xdr:col>1</xdr:col>
                    <xdr:colOff>2295525</xdr:colOff>
                    <xdr:row>18</xdr:row>
                    <xdr:rowOff>219075</xdr:rowOff>
                  </to>
                </anchor>
              </controlPr>
            </control>
          </mc:Choice>
        </mc:AlternateContent>
        <mc:AlternateContent xmlns:mc="http://schemas.openxmlformats.org/markup-compatibility/2006">
          <mc:Choice Requires="x14">
            <control shapeId="6307" r:id="rId58" name="Option Button 163">
              <controlPr locked="0" defaultSize="0" autoFill="0" autoLine="0" autoPict="0">
                <anchor moveWithCells="1">
                  <from>
                    <xdr:col>1</xdr:col>
                    <xdr:colOff>2809875</xdr:colOff>
                    <xdr:row>16</xdr:row>
                    <xdr:rowOff>209550</xdr:rowOff>
                  </from>
                  <to>
                    <xdr:col>1</xdr:col>
                    <xdr:colOff>3114675</xdr:colOff>
                    <xdr:row>18</xdr:row>
                    <xdr:rowOff>219075</xdr:rowOff>
                  </to>
                </anchor>
              </controlPr>
            </control>
          </mc:Choice>
        </mc:AlternateContent>
        <mc:AlternateContent xmlns:mc="http://schemas.openxmlformats.org/markup-compatibility/2006">
          <mc:Choice Requires="x14">
            <control shapeId="6308" r:id="rId59" name="Option Button 164">
              <controlPr locked="0" defaultSize="0" autoFill="0" autoLine="0" autoPict="0">
                <anchor moveWithCells="1">
                  <from>
                    <xdr:col>2</xdr:col>
                    <xdr:colOff>447675</xdr:colOff>
                    <xdr:row>16</xdr:row>
                    <xdr:rowOff>209550</xdr:rowOff>
                  </from>
                  <to>
                    <xdr:col>2</xdr:col>
                    <xdr:colOff>752475</xdr:colOff>
                    <xdr:row>18</xdr:row>
                    <xdr:rowOff>219075</xdr:rowOff>
                  </to>
                </anchor>
              </controlPr>
            </control>
          </mc:Choice>
        </mc:AlternateContent>
        <mc:AlternateContent xmlns:mc="http://schemas.openxmlformats.org/markup-compatibility/2006">
          <mc:Choice Requires="x14">
            <control shapeId="6309" r:id="rId60" name="Option Button 165">
              <controlPr locked="0" defaultSize="0" autoFill="0" autoLine="0" autoPict="0">
                <anchor moveWithCells="1">
                  <from>
                    <xdr:col>2</xdr:col>
                    <xdr:colOff>1314450</xdr:colOff>
                    <xdr:row>16</xdr:row>
                    <xdr:rowOff>228600</xdr:rowOff>
                  </from>
                  <to>
                    <xdr:col>2</xdr:col>
                    <xdr:colOff>1638300</xdr:colOff>
                    <xdr:row>18</xdr:row>
                    <xdr:rowOff>219075</xdr:rowOff>
                  </to>
                </anchor>
              </controlPr>
            </control>
          </mc:Choice>
        </mc:AlternateContent>
        <mc:AlternateContent xmlns:mc="http://schemas.openxmlformats.org/markup-compatibility/2006">
          <mc:Choice Requires="x14">
            <control shapeId="6314" r:id="rId61" name="Button 170">
              <controlPr locked="0" defaultSize="0" print="0" autoFill="0" autoPict="0" macro="[0]!SurveyOccupancyReload">
                <anchor moveWithCells="1" sizeWithCells="1">
                  <from>
                    <xdr:col>4</xdr:col>
                    <xdr:colOff>66675</xdr:colOff>
                    <xdr:row>62</xdr:row>
                    <xdr:rowOff>19050</xdr:rowOff>
                  </from>
                  <to>
                    <xdr:col>9</xdr:col>
                    <xdr:colOff>0</xdr:colOff>
                    <xdr:row>63</xdr:row>
                    <xdr:rowOff>647700</xdr:rowOff>
                  </to>
                </anchor>
              </controlPr>
            </control>
          </mc:Choice>
        </mc:AlternateContent>
        <mc:AlternateContent xmlns:mc="http://schemas.openxmlformats.org/markup-compatibility/2006">
          <mc:Choice Requires="x14">
            <control shapeId="6315" r:id="rId62" name="Spinner 171">
              <controlPr locked="0" defaultSize="0" autoPict="0">
                <anchor moveWithCells="1" sizeWithCells="1">
                  <from>
                    <xdr:col>3</xdr:col>
                    <xdr:colOff>2962275</xdr:colOff>
                    <xdr:row>62</xdr:row>
                    <xdr:rowOff>38100</xdr:rowOff>
                  </from>
                  <to>
                    <xdr:col>3</xdr:col>
                    <xdr:colOff>3267075</xdr:colOff>
                    <xdr:row>62</xdr:row>
                    <xdr:rowOff>704850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A1:CA154"/>
  <sheetViews>
    <sheetView zoomScale="70" zoomScaleNormal="70" workbookViewId="0">
      <pane ySplit="14" topLeftCell="A15" activePane="bottomLeft" state="frozen"/>
      <selection pane="bottomLeft" activeCell="AY28" sqref="AY28"/>
    </sheetView>
  </sheetViews>
  <sheetFormatPr defaultRowHeight="15" x14ac:dyDescent="0.25"/>
  <cols>
    <col min="20" max="21" width="9.140625" hidden="1" customWidth="1"/>
    <col min="22" max="23" width="11.42578125" hidden="1" customWidth="1"/>
    <col min="24" max="24" width="20.140625" hidden="1" customWidth="1"/>
    <col min="25" max="28" width="9.140625" hidden="1" customWidth="1"/>
    <col min="29" max="29" width="12.28515625" hidden="1" customWidth="1"/>
    <col min="30" max="30" width="9.140625" hidden="1" customWidth="1"/>
    <col min="31" max="31" width="12.28515625" hidden="1" customWidth="1"/>
    <col min="32" max="38" width="9.140625" hidden="1" customWidth="1"/>
  </cols>
  <sheetData>
    <row r="1" spans="1:79" s="97" customFormat="1" ht="5.0999999999999996" customHeight="1" x14ac:dyDescent="0.25">
      <c r="A1" s="2"/>
      <c r="B1" s="2"/>
      <c r="C1" s="2"/>
      <c r="D1" s="2"/>
      <c r="E1" s="2"/>
      <c r="F1" s="2"/>
      <c r="G1" s="2"/>
      <c r="H1" s="2"/>
      <c r="I1" s="2"/>
      <c r="J1" s="2"/>
      <c r="K1" s="2"/>
      <c r="L1" s="2"/>
      <c r="M1" s="2"/>
      <c r="N1" s="2"/>
      <c r="O1" s="2"/>
      <c r="P1" s="2"/>
      <c r="Q1" s="2"/>
      <c r="R1" s="2"/>
      <c r="S1" s="2"/>
    </row>
    <row r="2" spans="1:79" s="97" customFormat="1" ht="15" customHeight="1" x14ac:dyDescent="0.25">
      <c r="A2" s="607" t="s">
        <v>154</v>
      </c>
      <c r="B2" s="608"/>
      <c r="C2" s="608"/>
      <c r="D2" s="608"/>
      <c r="E2" s="608"/>
      <c r="F2" s="608"/>
      <c r="G2" s="608"/>
      <c r="H2" s="608"/>
      <c r="I2" s="608"/>
      <c r="J2" s="608"/>
      <c r="K2" s="608"/>
      <c r="L2" s="608"/>
      <c r="M2" s="608"/>
      <c r="N2" s="608"/>
      <c r="O2" s="608"/>
      <c r="P2" s="608"/>
      <c r="Q2" s="608"/>
      <c r="R2" s="608"/>
      <c r="S2" s="609"/>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row>
    <row r="3" spans="1:79" s="97" customFormat="1" ht="15" customHeight="1" x14ac:dyDescent="0.25">
      <c r="A3" s="610"/>
      <c r="B3" s="611"/>
      <c r="C3" s="611"/>
      <c r="D3" s="611"/>
      <c r="E3" s="611"/>
      <c r="F3" s="611"/>
      <c r="G3" s="611"/>
      <c r="H3" s="611"/>
      <c r="I3" s="611"/>
      <c r="J3" s="611"/>
      <c r="K3" s="611"/>
      <c r="L3" s="611"/>
      <c r="M3" s="611"/>
      <c r="N3" s="611"/>
      <c r="O3" s="611"/>
      <c r="P3" s="611"/>
      <c r="Q3" s="611"/>
      <c r="R3" s="611"/>
      <c r="S3" s="61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row>
    <row r="4" spans="1:79" s="97" customFormat="1" ht="15" customHeight="1" x14ac:dyDescent="0.25">
      <c r="A4" s="613" t="s">
        <v>233</v>
      </c>
      <c r="B4" s="614"/>
      <c r="C4" s="614"/>
      <c r="D4" s="614"/>
      <c r="E4" s="614"/>
      <c r="F4" s="614"/>
      <c r="G4" s="614"/>
      <c r="H4" s="614"/>
      <c r="I4" s="614"/>
      <c r="J4" s="614"/>
      <c r="K4" s="614"/>
      <c r="L4" s="614"/>
      <c r="M4" s="614"/>
      <c r="N4" s="614"/>
      <c r="O4" s="614"/>
      <c r="P4" s="614"/>
      <c r="Q4" s="614"/>
      <c r="R4" s="614"/>
      <c r="S4" s="615"/>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row>
    <row r="5" spans="1:79" s="97" customFormat="1" ht="15" customHeight="1" x14ac:dyDescent="0.25">
      <c r="A5" s="616"/>
      <c r="B5" s="582"/>
      <c r="C5" s="582"/>
      <c r="D5" s="582"/>
      <c r="E5" s="582"/>
      <c r="F5" s="582"/>
      <c r="G5" s="582"/>
      <c r="H5" s="582"/>
      <c r="I5" s="582"/>
      <c r="J5" s="582"/>
      <c r="K5" s="582"/>
      <c r="L5" s="582"/>
      <c r="M5" s="582"/>
      <c r="N5" s="582"/>
      <c r="O5" s="582"/>
      <c r="P5" s="582"/>
      <c r="Q5" s="582"/>
      <c r="R5" s="582"/>
      <c r="S5" s="617"/>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row>
    <row r="6" spans="1:79" s="97" customFormat="1" ht="15" customHeight="1" x14ac:dyDescent="0.25">
      <c r="A6" s="132"/>
      <c r="B6" s="2"/>
      <c r="C6" s="2"/>
      <c r="D6" s="2"/>
      <c r="E6" s="2"/>
      <c r="F6" s="2"/>
      <c r="G6" s="2"/>
      <c r="H6" s="2"/>
      <c r="I6" s="2"/>
      <c r="J6" s="2"/>
      <c r="K6" s="2"/>
      <c r="L6" s="2"/>
      <c r="M6" s="2"/>
      <c r="N6" s="2"/>
      <c r="O6" s="2"/>
      <c r="P6" s="2"/>
      <c r="Q6" s="2"/>
      <c r="R6" s="2"/>
      <c r="S6" s="133"/>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row>
    <row r="7" spans="1:79" s="97" customFormat="1" ht="15" customHeight="1" x14ac:dyDescent="0.25">
      <c r="A7" s="120"/>
      <c r="B7" s="618" t="s">
        <v>51</v>
      </c>
      <c r="C7" s="619"/>
      <c r="D7" s="619"/>
      <c r="E7" s="620"/>
      <c r="F7" s="624" t="str">
        <f>'Bicycle Parking Invest. Input'!C7</f>
        <v>Lake Merrit 2012 diverse investments</v>
      </c>
      <c r="G7" s="625"/>
      <c r="H7" s="625"/>
      <c r="I7" s="625"/>
      <c r="J7" s="625"/>
      <c r="K7" s="625"/>
      <c r="L7" s="625"/>
      <c r="M7" s="625"/>
      <c r="N7" s="625"/>
      <c r="O7" s="625"/>
      <c r="P7" s="625"/>
      <c r="Q7" s="625"/>
      <c r="R7" s="626"/>
      <c r="S7" s="121"/>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row>
    <row r="8" spans="1:79" s="97" customFormat="1" ht="15" customHeight="1" x14ac:dyDescent="0.25">
      <c r="A8" s="120"/>
      <c r="B8" s="621"/>
      <c r="C8" s="622"/>
      <c r="D8" s="622"/>
      <c r="E8" s="623"/>
      <c r="F8" s="627"/>
      <c r="G8" s="628"/>
      <c r="H8" s="628"/>
      <c r="I8" s="628"/>
      <c r="J8" s="628"/>
      <c r="K8" s="628"/>
      <c r="L8" s="628"/>
      <c r="M8" s="628"/>
      <c r="N8" s="628"/>
      <c r="O8" s="628"/>
      <c r="P8" s="628"/>
      <c r="Q8" s="628"/>
      <c r="R8" s="629"/>
      <c r="S8" s="121"/>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row>
    <row r="9" spans="1:79" s="145" customFormat="1" ht="15" customHeight="1" x14ac:dyDescent="0.25">
      <c r="A9" s="120"/>
      <c r="B9" s="618" t="s">
        <v>124</v>
      </c>
      <c r="C9" s="619"/>
      <c r="D9" s="619"/>
      <c r="E9" s="620"/>
      <c r="F9" s="636">
        <f>'Bicycle Parking Invest. Input'!C8</f>
        <v>2012</v>
      </c>
      <c r="G9" s="625"/>
      <c r="H9" s="625"/>
      <c r="I9" s="625"/>
      <c r="J9" s="625"/>
      <c r="K9" s="625"/>
      <c r="L9" s="625"/>
      <c r="M9" s="625"/>
      <c r="N9" s="625"/>
      <c r="O9" s="625"/>
      <c r="P9" s="625"/>
      <c r="Q9" s="625"/>
      <c r="R9" s="626"/>
      <c r="S9" s="121"/>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row>
    <row r="10" spans="1:79" s="145" customFormat="1" ht="15" customHeight="1" x14ac:dyDescent="0.25">
      <c r="A10" s="120"/>
      <c r="B10" s="621"/>
      <c r="C10" s="622"/>
      <c r="D10" s="622"/>
      <c r="E10" s="623"/>
      <c r="F10" s="627"/>
      <c r="G10" s="628"/>
      <c r="H10" s="628"/>
      <c r="I10" s="628"/>
      <c r="J10" s="628"/>
      <c r="K10" s="628"/>
      <c r="L10" s="628"/>
      <c r="M10" s="628"/>
      <c r="N10" s="628"/>
      <c r="O10" s="628"/>
      <c r="P10" s="628"/>
      <c r="Q10" s="628"/>
      <c r="R10" s="629"/>
      <c r="S10" s="121"/>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row>
    <row r="11" spans="1:79" s="145" customFormat="1" ht="15" customHeight="1" x14ac:dyDescent="0.25">
      <c r="A11" s="120"/>
      <c r="B11" s="618" t="str">
        <f>IF(StationType=1,"BART Station","BART Station Typology")</f>
        <v>BART Station</v>
      </c>
      <c r="C11" s="619"/>
      <c r="D11" s="619"/>
      <c r="E11" s="620"/>
      <c r="F11" s="636" t="str">
        <f>IF(StationType=1,'Bicycle Parking Invest. Input'!$C$12,'Bicycle Parking Invest. Input'!$C$13)</f>
        <v>Lake Merritt</v>
      </c>
      <c r="G11" s="625"/>
      <c r="H11" s="625"/>
      <c r="I11" s="625"/>
      <c r="J11" s="625"/>
      <c r="K11" s="625"/>
      <c r="L11" s="625"/>
      <c r="M11" s="625"/>
      <c r="N11" s="625"/>
      <c r="O11" s="625"/>
      <c r="P11" s="625"/>
      <c r="Q11" s="625"/>
      <c r="R11" s="626"/>
      <c r="S11" s="121"/>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row>
    <row r="12" spans="1:79" s="145" customFormat="1" ht="15" customHeight="1" x14ac:dyDescent="0.25">
      <c r="A12" s="120"/>
      <c r="B12" s="621"/>
      <c r="C12" s="622"/>
      <c r="D12" s="622"/>
      <c r="E12" s="623"/>
      <c r="F12" s="627"/>
      <c r="G12" s="628"/>
      <c r="H12" s="628"/>
      <c r="I12" s="628"/>
      <c r="J12" s="628"/>
      <c r="K12" s="628"/>
      <c r="L12" s="628"/>
      <c r="M12" s="628"/>
      <c r="N12" s="628"/>
      <c r="O12" s="628"/>
      <c r="P12" s="628"/>
      <c r="Q12" s="628"/>
      <c r="R12" s="629"/>
      <c r="S12" s="121"/>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79" s="145" customFormat="1" ht="15" hidden="1" customHeight="1" x14ac:dyDescent="0.25">
      <c r="A13" s="120"/>
      <c r="B13" s="630" t="s">
        <v>410</v>
      </c>
      <c r="C13" s="631"/>
      <c r="D13" s="631"/>
      <c r="E13" s="631"/>
      <c r="F13" s="631"/>
      <c r="G13" s="631"/>
      <c r="H13" s="631"/>
      <c r="I13" s="631"/>
      <c r="J13" s="631"/>
      <c r="K13" s="631"/>
      <c r="L13" s="631"/>
      <c r="M13" s="631"/>
      <c r="N13" s="631"/>
      <c r="O13" s="631"/>
      <c r="P13" s="631"/>
      <c r="Q13" s="631"/>
      <c r="R13" s="632"/>
      <c r="S13" s="121"/>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79" s="145" customFormat="1" ht="15" hidden="1" customHeight="1" x14ac:dyDescent="0.25">
      <c r="A14" s="120"/>
      <c r="B14" s="633"/>
      <c r="C14" s="634"/>
      <c r="D14" s="634"/>
      <c r="E14" s="634"/>
      <c r="F14" s="634"/>
      <c r="G14" s="634"/>
      <c r="H14" s="634"/>
      <c r="I14" s="634"/>
      <c r="J14" s="634"/>
      <c r="K14" s="634"/>
      <c r="L14" s="634"/>
      <c r="M14" s="634"/>
      <c r="N14" s="634"/>
      <c r="O14" s="634"/>
      <c r="P14" s="634"/>
      <c r="Q14" s="634"/>
      <c r="R14" s="635"/>
      <c r="S14" s="121"/>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1:79" s="97" customFormat="1" x14ac:dyDescent="0.25">
      <c r="A15" s="120"/>
      <c r="B15" s="2"/>
      <c r="C15" s="2"/>
      <c r="D15" s="2"/>
      <c r="E15" s="2"/>
      <c r="F15" s="2"/>
      <c r="G15" s="163"/>
      <c r="H15" s="2"/>
      <c r="I15" s="2"/>
      <c r="J15" s="2"/>
      <c r="K15" s="2"/>
      <c r="L15" s="2"/>
      <c r="M15" s="2"/>
      <c r="N15" s="2"/>
      <c r="O15" s="2"/>
      <c r="P15" s="2"/>
      <c r="Q15" s="2"/>
      <c r="R15" s="2"/>
      <c r="S15" s="121"/>
      <c r="T15" s="2"/>
      <c r="U15" s="2"/>
      <c r="V15" s="2"/>
      <c r="W15" s="2"/>
      <c r="X15" s="2"/>
      <c r="Y15" s="2"/>
      <c r="Z15" s="2"/>
      <c r="AA15" s="2"/>
      <c r="AB15" s="2"/>
      <c r="AC15" s="2"/>
      <c r="AD15" s="2"/>
      <c r="AE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79" s="97" customFormat="1" ht="33.950000000000003" customHeight="1" x14ac:dyDescent="0.25">
      <c r="A16" s="600" t="s">
        <v>278</v>
      </c>
      <c r="B16" s="601"/>
      <c r="C16" s="601"/>
      <c r="D16" s="601"/>
      <c r="E16" s="601"/>
      <c r="F16" s="601"/>
      <c r="G16" s="601"/>
      <c r="H16" s="601"/>
      <c r="I16" s="601"/>
      <c r="J16" s="601"/>
      <c r="K16" s="601"/>
      <c r="L16" s="601"/>
      <c r="M16" s="601"/>
      <c r="N16" s="601"/>
      <c r="O16" s="601"/>
      <c r="P16" s="601"/>
      <c r="Q16" s="601"/>
      <c r="R16" s="601"/>
      <c r="S16" s="602"/>
      <c r="T16" s="2"/>
      <c r="U16" s="2"/>
      <c r="V16" s="2"/>
      <c r="W16" s="2"/>
      <c r="X16" s="2"/>
      <c r="Y16" s="2"/>
      <c r="Z16" s="2"/>
      <c r="AA16" s="2"/>
      <c r="AB16" s="2"/>
      <c r="AC16" s="2"/>
      <c r="AD16" s="2"/>
      <c r="AE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row>
    <row r="17" spans="1:79" s="97" customFormat="1" ht="5.0999999999999996" customHeight="1" x14ac:dyDescent="0.25">
      <c r="A17" s="122"/>
      <c r="B17" s="68"/>
      <c r="C17" s="68"/>
      <c r="D17" s="68"/>
      <c r="E17" s="68"/>
      <c r="F17" s="68"/>
      <c r="G17" s="68"/>
      <c r="H17" s="68"/>
      <c r="I17" s="68"/>
      <c r="J17" s="68"/>
      <c r="K17" s="68"/>
      <c r="L17" s="68"/>
      <c r="M17" s="68"/>
      <c r="N17" s="68"/>
      <c r="O17" s="68"/>
      <c r="P17" s="68"/>
      <c r="Q17" s="68"/>
      <c r="R17" s="68"/>
      <c r="S17" s="123"/>
      <c r="T17" s="2"/>
      <c r="U17" s="2"/>
      <c r="V17" s="2"/>
      <c r="W17" s="2"/>
      <c r="X17" s="2"/>
      <c r="Y17" s="2"/>
      <c r="Z17" s="2"/>
      <c r="AA17" s="2"/>
      <c r="AB17" s="2"/>
      <c r="AC17" s="2"/>
      <c r="AD17" s="2"/>
      <c r="AE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row>
    <row r="18" spans="1:79" s="97" customFormat="1" x14ac:dyDescent="0.25">
      <c r="A18" s="120"/>
      <c r="B18" s="2"/>
      <c r="C18" s="2"/>
      <c r="D18" s="2"/>
      <c r="E18" s="2"/>
      <c r="F18" s="2"/>
      <c r="G18" s="2"/>
      <c r="H18" s="2"/>
      <c r="I18" s="2"/>
      <c r="J18" s="2"/>
      <c r="K18" s="2"/>
      <c r="L18" s="2"/>
      <c r="M18" s="2"/>
      <c r="N18" s="2"/>
      <c r="O18" s="2"/>
      <c r="P18" s="2"/>
      <c r="Q18" s="2"/>
      <c r="R18" s="2"/>
      <c r="S18" s="121"/>
      <c r="T18" s="2"/>
      <c r="U18" s="2"/>
      <c r="V18" s="2"/>
      <c r="W18" s="2"/>
      <c r="X18" s="2"/>
      <c r="Y18" s="2"/>
      <c r="Z18" s="2"/>
      <c r="AA18" s="2"/>
      <c r="AB18" s="2"/>
      <c r="AC18" s="2"/>
      <c r="AD18" s="2"/>
      <c r="AE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s="97" customFormat="1" ht="15.95" customHeight="1" x14ac:dyDescent="0.25">
      <c r="A19" s="120"/>
      <c r="B19" s="2"/>
      <c r="C19" s="2"/>
      <c r="D19" s="2"/>
      <c r="E19" s="2"/>
      <c r="F19" s="2"/>
      <c r="G19" s="2"/>
      <c r="H19" s="2"/>
      <c r="I19" s="2"/>
      <c r="J19" s="2"/>
      <c r="K19" s="2"/>
      <c r="L19" s="2"/>
      <c r="M19" s="2"/>
      <c r="N19" s="2"/>
      <c r="O19" s="2"/>
      <c r="P19" s="2"/>
      <c r="Q19" s="2"/>
      <c r="R19" s="2"/>
      <c r="S19" s="121"/>
      <c r="T19" s="2"/>
      <c r="U19" s="2"/>
      <c r="V19" s="2"/>
      <c r="W19" s="2"/>
      <c r="X19" s="2"/>
      <c r="Y19" s="2"/>
      <c r="Z19" s="2"/>
      <c r="AA19" s="2"/>
      <c r="AB19" s="2"/>
      <c r="AC19" s="2"/>
      <c r="AD19" s="2"/>
      <c r="AE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s="97" customFormat="1" ht="15.95" customHeight="1" x14ac:dyDescent="0.25">
      <c r="A20" s="120"/>
      <c r="B20" s="2"/>
      <c r="C20" s="2"/>
      <c r="D20" s="2"/>
      <c r="E20" s="2"/>
      <c r="F20" s="2"/>
      <c r="G20" s="2"/>
      <c r="H20" s="2"/>
      <c r="I20" s="2"/>
      <c r="J20" s="2"/>
      <c r="K20" s="2"/>
      <c r="L20" s="2"/>
      <c r="M20" s="2"/>
      <c r="N20" s="2"/>
      <c r="O20" s="2"/>
      <c r="P20" s="2"/>
      <c r="Q20" s="2"/>
      <c r="R20" s="2"/>
      <c r="S20" s="121"/>
      <c r="T20" s="2"/>
      <c r="U20" s="2"/>
      <c r="V20" s="2"/>
      <c r="W20" s="2"/>
      <c r="X20" s="2"/>
      <c r="Y20" s="2"/>
      <c r="Z20" s="2"/>
      <c r="AA20" s="2"/>
      <c r="AB20" s="2"/>
      <c r="AC20" s="2"/>
      <c r="AD20" s="2"/>
      <c r="AE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s="97" customFormat="1" ht="15.95" customHeight="1" x14ac:dyDescent="0.25">
      <c r="A21" s="120"/>
      <c r="B21" s="2"/>
      <c r="C21" s="2"/>
      <c r="D21" s="2"/>
      <c r="E21" s="2"/>
      <c r="F21" s="2"/>
      <c r="G21" s="2"/>
      <c r="H21" s="2"/>
      <c r="I21" s="2"/>
      <c r="J21" s="2"/>
      <c r="K21" s="2"/>
      <c r="L21" s="2"/>
      <c r="M21" s="2"/>
      <c r="N21" s="2"/>
      <c r="O21" s="2"/>
      <c r="P21" s="2"/>
      <c r="Q21" s="2"/>
      <c r="R21" s="2"/>
      <c r="S21" s="121"/>
      <c r="T21" s="2"/>
      <c r="U21" s="2"/>
      <c r="V21" s="2"/>
      <c r="W21" s="2"/>
      <c r="X21" s="2"/>
      <c r="Y21" s="2"/>
      <c r="Z21" s="2"/>
      <c r="AA21" s="2"/>
      <c r="AB21" s="2"/>
      <c r="AC21" s="2"/>
      <c r="AD21" s="2"/>
      <c r="AE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s="145" customFormat="1" ht="15.95" customHeight="1" x14ac:dyDescent="0.25">
      <c r="A22" s="120"/>
      <c r="B22" s="2"/>
      <c r="C22" s="2"/>
      <c r="D22" s="2"/>
      <c r="E22" s="2"/>
      <c r="F22" s="2"/>
      <c r="G22" s="2"/>
      <c r="H22" s="2"/>
      <c r="I22" s="2"/>
      <c r="J22" s="2"/>
      <c r="K22" s="2"/>
      <c r="L22" s="2"/>
      <c r="M22" s="2"/>
      <c r="N22" s="2"/>
      <c r="O22" s="2"/>
      <c r="P22" s="2"/>
      <c r="Q22" s="2"/>
      <c r="R22" s="2"/>
      <c r="S22" s="121"/>
      <c r="T22" s="2"/>
      <c r="U22" s="2"/>
      <c r="V22" s="2"/>
      <c r="W22" s="2"/>
      <c r="X22" s="2"/>
      <c r="Y22" s="2"/>
      <c r="Z22" s="2"/>
      <c r="AA22" s="2"/>
      <c r="AB22" s="2"/>
      <c r="AC22" s="2"/>
      <c r="AD22" s="2"/>
      <c r="AE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row>
    <row r="23" spans="1:79" s="145" customFormat="1" ht="15.95" customHeight="1" x14ac:dyDescent="0.25">
      <c r="A23" s="120"/>
      <c r="B23" s="2"/>
      <c r="C23" s="2"/>
      <c r="D23" s="2"/>
      <c r="E23" s="2"/>
      <c r="F23" s="2"/>
      <c r="G23" s="2"/>
      <c r="H23" s="2"/>
      <c r="I23" s="2"/>
      <c r="J23" s="2"/>
      <c r="K23" s="2"/>
      <c r="L23" s="2"/>
      <c r="M23" s="2"/>
      <c r="N23" s="2"/>
      <c r="O23" s="2"/>
      <c r="P23" s="2"/>
      <c r="Q23" s="2"/>
      <c r="R23" s="2"/>
      <c r="S23" s="121"/>
      <c r="T23" s="2"/>
      <c r="U23" s="2"/>
      <c r="V23" s="2"/>
      <c r="W23" s="2"/>
      <c r="X23" s="2"/>
      <c r="Y23" s="2"/>
      <c r="Z23" s="2"/>
      <c r="AA23" s="2"/>
      <c r="AB23" s="2"/>
      <c r="AC23" s="2"/>
      <c r="AD23" s="2"/>
      <c r="AE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row>
    <row r="24" spans="1:79" s="145" customFormat="1" ht="15.95" customHeight="1" x14ac:dyDescent="0.25">
      <c r="A24" s="120"/>
      <c r="B24" s="2"/>
      <c r="C24" s="2"/>
      <c r="D24" s="2"/>
      <c r="E24" s="2"/>
      <c r="F24" s="2"/>
      <c r="G24" s="2"/>
      <c r="H24" s="2"/>
      <c r="I24" s="2"/>
      <c r="J24" s="2"/>
      <c r="K24" s="2"/>
      <c r="L24" s="2"/>
      <c r="M24" s="2"/>
      <c r="N24" s="2"/>
      <c r="O24" s="2"/>
      <c r="P24" s="2"/>
      <c r="Q24" s="2"/>
      <c r="R24" s="2"/>
      <c r="S24" s="121"/>
      <c r="T24" s="2"/>
      <c r="U24" s="2"/>
      <c r="V24" s="2"/>
      <c r="W24" s="2"/>
      <c r="X24" s="2"/>
      <c r="Y24" s="2"/>
      <c r="Z24" s="2"/>
      <c r="AA24" s="2"/>
      <c r="AB24" s="2"/>
      <c r="AC24" s="2"/>
      <c r="AD24" s="2"/>
      <c r="AE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row>
    <row r="25" spans="1:79" s="97" customFormat="1" x14ac:dyDescent="0.25">
      <c r="A25" s="120"/>
      <c r="B25" s="2"/>
      <c r="C25" s="2"/>
      <c r="D25" s="2"/>
      <c r="E25" s="2"/>
      <c r="F25" s="2"/>
      <c r="G25" s="2"/>
      <c r="H25" s="2"/>
      <c r="I25" s="2"/>
      <c r="J25" s="2"/>
      <c r="K25" s="2"/>
      <c r="L25" s="2"/>
      <c r="M25" s="2"/>
      <c r="N25" s="2"/>
      <c r="O25" s="2"/>
      <c r="P25" s="2"/>
      <c r="Q25" s="2"/>
      <c r="R25" s="2"/>
      <c r="S25" s="121"/>
      <c r="T25" s="2"/>
      <c r="U25" s="2"/>
      <c r="V25" s="2"/>
      <c r="W25" s="2"/>
      <c r="X25" s="2"/>
      <c r="Y25" s="2"/>
      <c r="Z25" s="2"/>
      <c r="AA25" s="2"/>
      <c r="AB25" s="2"/>
      <c r="AC25" s="2"/>
      <c r="AD25" s="2"/>
      <c r="AE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1:79" s="97" customFormat="1" x14ac:dyDescent="0.25">
      <c r="A26" s="120"/>
      <c r="B26" s="2"/>
      <c r="C26" s="2"/>
      <c r="D26" s="2"/>
      <c r="E26" s="2"/>
      <c r="F26" s="2"/>
      <c r="G26" s="2"/>
      <c r="H26" s="2"/>
      <c r="I26" s="2"/>
      <c r="J26" s="2"/>
      <c r="K26" s="2"/>
      <c r="L26" s="2"/>
      <c r="M26" s="2"/>
      <c r="N26" s="2"/>
      <c r="O26" s="2"/>
      <c r="P26" s="2"/>
      <c r="Q26" s="2"/>
      <c r="R26" s="2"/>
      <c r="S26" s="121"/>
      <c r="T26" s="2"/>
      <c r="U26" s="2"/>
      <c r="V26" s="2"/>
      <c r="W26" s="2"/>
      <c r="X26" s="2"/>
      <c r="Y26" s="2"/>
      <c r="Z26" s="2"/>
      <c r="AA26" s="2"/>
      <c r="AB26" s="2"/>
      <c r="AC26" s="2"/>
      <c r="AD26" s="2"/>
      <c r="AE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row>
    <row r="27" spans="1:79" x14ac:dyDescent="0.25">
      <c r="A27" s="120"/>
      <c r="B27" s="2"/>
      <c r="C27" s="2"/>
      <c r="D27" s="2"/>
      <c r="E27" s="2"/>
      <c r="F27" s="2"/>
      <c r="G27" s="2"/>
      <c r="H27" s="2"/>
      <c r="I27" s="2"/>
      <c r="J27" s="2"/>
      <c r="K27" s="2"/>
      <c r="L27" s="2"/>
      <c r="M27" s="2"/>
      <c r="N27" s="2"/>
      <c r="O27" s="2"/>
      <c r="P27" s="2"/>
      <c r="Q27" s="2"/>
      <c r="R27" s="2"/>
      <c r="S27" s="121"/>
      <c r="T27" s="2"/>
      <c r="U27" s="2"/>
      <c r="V27" s="2"/>
      <c r="W27" s="2"/>
      <c r="X27" s="2"/>
      <c r="Y27" s="2"/>
      <c r="Z27" s="2"/>
      <c r="AA27" s="2"/>
      <c r="AB27" s="2"/>
      <c r="AC27" s="2"/>
      <c r="AD27" s="2"/>
      <c r="AE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row>
    <row r="28" spans="1:79" x14ac:dyDescent="0.25">
      <c r="A28" s="120"/>
      <c r="B28" s="2"/>
      <c r="C28" s="2"/>
      <c r="D28" s="2"/>
      <c r="E28" s="2"/>
      <c r="F28" s="2"/>
      <c r="G28" s="2"/>
      <c r="H28" s="2"/>
      <c r="I28" s="2"/>
      <c r="J28" s="2"/>
      <c r="K28" s="2"/>
      <c r="L28" s="2"/>
      <c r="M28" s="2"/>
      <c r="N28" s="2"/>
      <c r="O28" s="2"/>
      <c r="P28" s="2"/>
      <c r="Q28" s="2"/>
      <c r="R28" s="2"/>
      <c r="S28" s="121"/>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row>
    <row r="29" spans="1:79" x14ac:dyDescent="0.25">
      <c r="A29" s="120"/>
      <c r="B29" s="2"/>
      <c r="C29" s="2"/>
      <c r="D29" s="2"/>
      <c r="E29" s="2"/>
      <c r="F29" s="2"/>
      <c r="G29" s="2"/>
      <c r="H29" s="2"/>
      <c r="I29" s="2"/>
      <c r="J29" s="2"/>
      <c r="K29" s="2"/>
      <c r="L29" s="2"/>
      <c r="M29" s="2"/>
      <c r="N29" s="2"/>
      <c r="O29" s="2"/>
      <c r="P29" s="2"/>
      <c r="Q29" s="2"/>
      <c r="R29" s="2"/>
      <c r="S29" s="121"/>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row>
    <row r="30" spans="1:79" x14ac:dyDescent="0.25">
      <c r="A30" s="120"/>
      <c r="B30" s="2"/>
      <c r="C30" s="2"/>
      <c r="D30" s="2"/>
      <c r="E30" s="2"/>
      <c r="F30" s="2"/>
      <c r="G30" s="2"/>
      <c r="H30" s="2"/>
      <c r="I30" s="2"/>
      <c r="J30" s="2"/>
      <c r="K30" s="2"/>
      <c r="L30" s="2"/>
      <c r="M30" s="2"/>
      <c r="N30" s="2"/>
      <c r="O30" s="2"/>
      <c r="P30" s="2"/>
      <c r="Q30" s="2"/>
      <c r="R30" s="2"/>
      <c r="S30" s="121"/>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row>
    <row r="31" spans="1:79" x14ac:dyDescent="0.25">
      <c r="A31" s="120"/>
      <c r="B31" s="2"/>
      <c r="C31" s="2"/>
      <c r="D31" s="2"/>
      <c r="E31" s="2"/>
      <c r="F31" s="2"/>
      <c r="G31" s="2"/>
      <c r="H31" s="2"/>
      <c r="I31" s="2"/>
      <c r="J31" s="2"/>
      <c r="K31" s="2"/>
      <c r="L31" s="2"/>
      <c r="M31" s="2"/>
      <c r="N31" s="2"/>
      <c r="O31" s="2"/>
      <c r="P31" s="2"/>
      <c r="Q31" s="2"/>
      <c r="R31" s="2"/>
      <c r="S31" s="121"/>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row>
    <row r="32" spans="1:79" x14ac:dyDescent="0.25">
      <c r="A32" s="120"/>
      <c r="B32" s="2"/>
      <c r="C32" s="2"/>
      <c r="D32" s="2"/>
      <c r="E32" s="2"/>
      <c r="F32" s="2"/>
      <c r="G32" s="2"/>
      <c r="H32" s="2"/>
      <c r="I32" s="2"/>
      <c r="J32" s="2"/>
      <c r="K32" s="2"/>
      <c r="L32" s="2"/>
      <c r="M32" s="2"/>
      <c r="N32" s="2"/>
      <c r="O32" s="2"/>
      <c r="P32" s="2"/>
      <c r="Q32" s="2"/>
      <c r="R32" s="2"/>
      <c r="S32" s="121"/>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row>
    <row r="33" spans="1:79" x14ac:dyDescent="0.25">
      <c r="A33" s="120"/>
      <c r="B33" s="2"/>
      <c r="C33" s="2"/>
      <c r="D33" s="2"/>
      <c r="E33" s="2"/>
      <c r="F33" s="2"/>
      <c r="G33" s="2"/>
      <c r="H33" s="2"/>
      <c r="I33" s="2"/>
      <c r="J33" s="2"/>
      <c r="K33" s="2"/>
      <c r="L33" s="2"/>
      <c r="M33" s="2"/>
      <c r="N33" s="2"/>
      <c r="O33" s="2"/>
      <c r="P33" s="2"/>
      <c r="Q33" s="2"/>
      <c r="R33" s="2"/>
      <c r="S33" s="121"/>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row>
    <row r="34" spans="1:79" x14ac:dyDescent="0.25">
      <c r="A34" s="120"/>
      <c r="B34" s="2"/>
      <c r="C34" s="2"/>
      <c r="D34" s="2"/>
      <c r="E34" s="2"/>
      <c r="F34" s="2"/>
      <c r="G34" s="2"/>
      <c r="H34" s="2"/>
      <c r="I34" s="2"/>
      <c r="J34" s="2"/>
      <c r="K34" s="2"/>
      <c r="L34" s="2"/>
      <c r="M34" s="2"/>
      <c r="N34" s="2"/>
      <c r="O34" s="2"/>
      <c r="P34" s="2"/>
      <c r="Q34" s="2"/>
      <c r="R34" s="2"/>
      <c r="S34" s="121"/>
      <c r="T34" s="2"/>
      <c r="U34" s="2"/>
      <c r="V34" s="2"/>
      <c r="W34" s="2"/>
      <c r="X34" s="2"/>
      <c r="Y34" s="2"/>
      <c r="Z34" s="2"/>
      <c r="AA34" s="2"/>
      <c r="AB34" s="13" t="s">
        <v>287</v>
      </c>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row>
    <row r="35" spans="1:79" ht="22.5" x14ac:dyDescent="0.25">
      <c r="A35" s="120"/>
      <c r="B35" s="2"/>
      <c r="C35" s="2"/>
      <c r="D35" s="2"/>
      <c r="E35" s="2"/>
      <c r="F35" s="2"/>
      <c r="G35" s="2"/>
      <c r="H35" s="2"/>
      <c r="I35" s="2"/>
      <c r="J35" s="2"/>
      <c r="K35" s="2"/>
      <c r="L35" s="2"/>
      <c r="M35" s="2"/>
      <c r="N35" s="2"/>
      <c r="O35" s="2"/>
      <c r="P35" s="2"/>
      <c r="Q35" s="2"/>
      <c r="R35" s="2"/>
      <c r="S35" s="121"/>
      <c r="T35" s="2"/>
      <c r="U35" s="2"/>
      <c r="V35" s="2"/>
      <c r="W35" s="2"/>
      <c r="X35" s="2"/>
      <c r="Y35" s="2"/>
      <c r="Z35" s="2"/>
      <c r="AA35" s="2"/>
      <c r="AB35" s="2" t="s">
        <v>40</v>
      </c>
      <c r="AC35" s="2" t="s">
        <v>230</v>
      </c>
      <c r="AD35" s="2" t="s">
        <v>19</v>
      </c>
      <c r="AE35" s="2" t="s">
        <v>45</v>
      </c>
      <c r="AF35" s="2"/>
      <c r="AG35" s="2" t="s">
        <v>46</v>
      </c>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row>
    <row r="36" spans="1:79" ht="22.5" x14ac:dyDescent="0.25">
      <c r="A36" s="120"/>
      <c r="B36" s="2"/>
      <c r="C36" s="2"/>
      <c r="D36" s="2"/>
      <c r="E36" s="2"/>
      <c r="F36" s="2"/>
      <c r="G36" s="2"/>
      <c r="H36" s="2"/>
      <c r="I36" s="2"/>
      <c r="J36" s="2"/>
      <c r="K36" s="2"/>
      <c r="L36" s="2"/>
      <c r="M36" s="2"/>
      <c r="N36" s="2"/>
      <c r="O36" s="2"/>
      <c r="P36" s="2"/>
      <c r="Q36" s="2"/>
      <c r="R36" s="2"/>
      <c r="S36" s="121"/>
      <c r="T36" s="2"/>
      <c r="U36" s="2"/>
      <c r="V36" s="2"/>
      <c r="W36" s="2"/>
      <c r="X36" s="2"/>
      <c r="Y36" s="2"/>
      <c r="Z36" s="2"/>
      <c r="AA36" s="2"/>
      <c r="AB36" s="2" t="s">
        <v>461</v>
      </c>
      <c r="AC36" s="10">
        <f>SUM(Calculations!G8)</f>
        <v>21</v>
      </c>
      <c r="AD36" s="10">
        <f>AC36+SUM(Calculations!I8)</f>
        <v>21</v>
      </c>
      <c r="AE36" s="10">
        <f>IF(OR(Calculations!I22=1,Calculations!I22=2),ROUND((AD36+AD37)*(1/4.5),0),ROUND((AD36+AD37)*(1/4.3),0))</f>
        <v>72</v>
      </c>
      <c r="AF36" s="2"/>
      <c r="AG36" s="2">
        <f>IF((AC36+AD36)&lt;AE36,1,0)</f>
        <v>1</v>
      </c>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ht="22.5" x14ac:dyDescent="0.25">
      <c r="A37" s="120"/>
      <c r="B37" s="2"/>
      <c r="C37" s="2"/>
      <c r="D37" s="2"/>
      <c r="E37" s="2"/>
      <c r="F37" s="2"/>
      <c r="G37" s="2"/>
      <c r="H37" s="2"/>
      <c r="I37" s="2"/>
      <c r="J37" s="2"/>
      <c r="K37" s="2"/>
      <c r="L37" s="2"/>
      <c r="M37" s="2"/>
      <c r="N37" s="2"/>
      <c r="O37" s="2"/>
      <c r="P37" s="2"/>
      <c r="Q37" s="2"/>
      <c r="R37" s="2"/>
      <c r="S37" s="121"/>
      <c r="T37" s="2"/>
      <c r="U37" s="2"/>
      <c r="V37" s="2"/>
      <c r="W37" s="2"/>
      <c r="X37" s="2"/>
      <c r="Y37" s="2"/>
      <c r="Z37" s="2"/>
      <c r="AA37" s="2"/>
      <c r="AB37" s="2" t="s">
        <v>462</v>
      </c>
      <c r="AC37" s="10">
        <f>SUM(Calculations!G5:G11)-'Bicycle Parking Invest. Summary'!AC36</f>
        <v>32</v>
      </c>
      <c r="AD37" s="10">
        <f>AC37+SUM(Calculations!I5:I11)-Calculations!I8</f>
        <v>302</v>
      </c>
      <c r="AE37" s="10">
        <f>SUM(AD36:AD37)-AE36</f>
        <v>251</v>
      </c>
      <c r="AF37" s="2"/>
      <c r="AG37" s="2">
        <f>IF((AC37+AD37)&lt;AE37,1,0)</f>
        <v>0</v>
      </c>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x14ac:dyDescent="0.25">
      <c r="A38" s="120"/>
      <c r="B38" s="2"/>
      <c r="C38" s="2"/>
      <c r="D38" s="2"/>
      <c r="E38" s="2"/>
      <c r="F38" s="2"/>
      <c r="G38" s="2"/>
      <c r="H38" s="2"/>
      <c r="I38" s="2"/>
      <c r="J38" s="2"/>
      <c r="K38" s="2"/>
      <c r="L38" s="2"/>
      <c r="M38" s="2"/>
      <c r="N38" s="2"/>
      <c r="O38" s="2"/>
      <c r="P38" s="2"/>
      <c r="Q38" s="2"/>
      <c r="R38" s="2"/>
      <c r="S38" s="121"/>
      <c r="T38" s="2"/>
      <c r="U38" s="2"/>
      <c r="V38" s="2"/>
      <c r="W38" s="2"/>
      <c r="X38" s="2"/>
      <c r="Y38" s="2"/>
      <c r="Z38" s="2"/>
      <c r="AA38" s="2"/>
      <c r="AB38" s="2"/>
      <c r="AC38" s="8">
        <f t="shared" ref="AC38:AE39" si="0">AC36/(SUM(AC$36:AC$37))</f>
        <v>0.39622641509433965</v>
      </c>
      <c r="AD38" s="8">
        <f t="shared" si="0"/>
        <v>6.5015479876160992E-2</v>
      </c>
      <c r="AE38" s="8">
        <f t="shared" si="0"/>
        <v>0.22291021671826625</v>
      </c>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x14ac:dyDescent="0.25">
      <c r="A39" s="120"/>
      <c r="B39" s="2"/>
      <c r="C39" s="2"/>
      <c r="D39" s="2"/>
      <c r="E39" s="2"/>
      <c r="F39" s="2"/>
      <c r="G39" s="2"/>
      <c r="H39" s="2"/>
      <c r="I39" s="2"/>
      <c r="J39" s="2"/>
      <c r="K39" s="2"/>
      <c r="L39" s="2"/>
      <c r="M39" s="2"/>
      <c r="N39" s="2"/>
      <c r="O39" s="2"/>
      <c r="P39" s="2"/>
      <c r="Q39" s="2"/>
      <c r="R39" s="2"/>
      <c r="S39" s="121"/>
      <c r="T39" s="2"/>
      <c r="U39" s="2"/>
      <c r="V39" s="2"/>
      <c r="W39" s="2"/>
      <c r="X39" s="2"/>
      <c r="Y39" s="2"/>
      <c r="Z39" s="2"/>
      <c r="AA39" s="2"/>
      <c r="AB39" s="2"/>
      <c r="AC39" s="8">
        <f t="shared" si="0"/>
        <v>0.60377358490566035</v>
      </c>
      <c r="AD39" s="8">
        <f t="shared" si="0"/>
        <v>0.93498452012383904</v>
      </c>
      <c r="AE39" s="8">
        <f t="shared" si="0"/>
        <v>0.77708978328173373</v>
      </c>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x14ac:dyDescent="0.25">
      <c r="A40" s="120"/>
      <c r="B40" s="2"/>
      <c r="C40" s="2"/>
      <c r="D40" s="2"/>
      <c r="E40" s="2"/>
      <c r="F40" s="2"/>
      <c r="G40" s="2"/>
      <c r="H40" s="2"/>
      <c r="I40" s="2"/>
      <c r="J40" s="2"/>
      <c r="K40" s="2"/>
      <c r="L40" s="2"/>
      <c r="M40" s="2"/>
      <c r="N40" s="2"/>
      <c r="O40" s="2"/>
      <c r="P40" s="2"/>
      <c r="Q40" s="2"/>
      <c r="R40" s="2"/>
      <c r="S40" s="121"/>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x14ac:dyDescent="0.25">
      <c r="A41" s="120"/>
      <c r="B41" s="2"/>
      <c r="C41" s="2"/>
      <c r="D41" s="2"/>
      <c r="E41" s="2"/>
      <c r="F41" s="2"/>
      <c r="G41" s="2"/>
      <c r="H41" s="2"/>
      <c r="I41" s="2"/>
      <c r="J41" s="2"/>
      <c r="K41" s="2"/>
      <c r="L41" s="2"/>
      <c r="M41" s="2"/>
      <c r="N41" s="2"/>
      <c r="O41" s="2"/>
      <c r="P41" s="2"/>
      <c r="Q41" s="2"/>
      <c r="R41" s="2"/>
      <c r="S41" s="121"/>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x14ac:dyDescent="0.25">
      <c r="A42" s="120"/>
      <c r="B42" s="2"/>
      <c r="C42" s="2"/>
      <c r="D42" s="2"/>
      <c r="E42" s="2"/>
      <c r="F42" s="2"/>
      <c r="G42" s="2"/>
      <c r="H42" s="2"/>
      <c r="I42" s="2"/>
      <c r="J42" s="2"/>
      <c r="K42" s="2"/>
      <c r="L42" s="2"/>
      <c r="M42" s="2"/>
      <c r="N42" s="2"/>
      <c r="O42" s="2"/>
      <c r="P42" s="2"/>
      <c r="Q42" s="2"/>
      <c r="R42" s="2"/>
      <c r="S42" s="121"/>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33.75" x14ac:dyDescent="0.25">
      <c r="A43" s="120"/>
      <c r="B43" s="2"/>
      <c r="C43" s="2"/>
      <c r="D43" s="2"/>
      <c r="E43" s="2"/>
      <c r="F43" s="2"/>
      <c r="G43" s="2"/>
      <c r="H43" s="2"/>
      <c r="I43" s="2"/>
      <c r="J43" s="2"/>
      <c r="K43" s="2"/>
      <c r="L43" s="2"/>
      <c r="M43" s="2"/>
      <c r="N43" s="2"/>
      <c r="O43" s="2"/>
      <c r="P43" s="2"/>
      <c r="Q43" s="2"/>
      <c r="R43" s="2"/>
      <c r="S43" s="121"/>
      <c r="T43" s="2"/>
      <c r="U43" s="2"/>
      <c r="V43" s="2"/>
      <c r="W43" s="2"/>
      <c r="X43" s="2"/>
      <c r="Y43" s="2"/>
      <c r="Z43" s="2"/>
      <c r="AA43" s="2"/>
      <c r="AB43" s="2"/>
      <c r="AC43" s="2"/>
      <c r="AD43" s="2"/>
      <c r="AE43" s="2"/>
      <c r="AF43" s="2"/>
      <c r="AG43" s="2"/>
      <c r="AH43" s="2" t="str">
        <f>IF(StationType=1,VLOOKUP(VLOOKUP('Bicycle Parking Invest. Input'!$C$12,Database!$A$2:$O$44,COLUMN(O1),FALSE),Database!$A$52:$B$56,2,FALSE),'Bicycle Parking Invest. Input'!$C$13)</f>
        <v>Urban with Parking</v>
      </c>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x14ac:dyDescent="0.25">
      <c r="A44" s="120"/>
      <c r="B44" s="2"/>
      <c r="C44" s="2"/>
      <c r="D44" s="2"/>
      <c r="E44" s="2"/>
      <c r="F44" s="2"/>
      <c r="G44" s="2"/>
      <c r="H44" s="2"/>
      <c r="I44" s="2"/>
      <c r="J44" s="2"/>
      <c r="K44" s="2"/>
      <c r="L44" s="2"/>
      <c r="M44" s="2"/>
      <c r="N44" s="2"/>
      <c r="O44" s="2"/>
      <c r="P44" s="2"/>
      <c r="Q44" s="2"/>
      <c r="R44" s="2"/>
      <c r="S44" s="121"/>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ht="66.75" customHeight="1" x14ac:dyDescent="0.25">
      <c r="A45" s="120"/>
      <c r="B45" s="2"/>
      <c r="C45" s="2"/>
      <c r="D45" s="2"/>
      <c r="E45" s="2"/>
      <c r="F45" s="2"/>
      <c r="G45" s="2"/>
      <c r="H45" s="2"/>
      <c r="I45" s="2"/>
      <c r="J45" s="2"/>
      <c r="K45" s="2"/>
      <c r="L45" s="2"/>
      <c r="M45" s="2"/>
      <c r="N45" s="2"/>
      <c r="O45" s="2"/>
      <c r="P45" s="2"/>
      <c r="Q45" s="2"/>
      <c r="R45" s="2"/>
      <c r="S45" s="121"/>
      <c r="T45" s="2"/>
      <c r="U45" s="2"/>
      <c r="V45" s="2"/>
      <c r="W45" s="2"/>
      <c r="X45" s="2"/>
      <c r="Y45" s="2"/>
      <c r="Z45" s="2"/>
      <c r="AA45" s="2"/>
      <c r="AB45" s="13" t="s">
        <v>286</v>
      </c>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x14ac:dyDescent="0.25">
      <c r="A46" s="120"/>
      <c r="B46" s="2"/>
      <c r="C46" s="2"/>
      <c r="D46" s="2"/>
      <c r="E46" s="2"/>
      <c r="F46" s="2"/>
      <c r="G46" s="2"/>
      <c r="H46" s="2"/>
      <c r="I46" s="2"/>
      <c r="J46" s="2"/>
      <c r="K46" s="2"/>
      <c r="L46" s="2"/>
      <c r="M46" s="2"/>
      <c r="N46" s="2"/>
      <c r="O46" s="2"/>
      <c r="P46" s="2"/>
      <c r="Q46" s="2"/>
      <c r="R46" s="2"/>
      <c r="S46" s="121"/>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33.950000000000003" customHeight="1" x14ac:dyDescent="0.25">
      <c r="A47" s="604"/>
      <c r="B47" s="605"/>
      <c r="C47" s="605"/>
      <c r="D47" s="605"/>
      <c r="E47" s="605"/>
      <c r="F47" s="605"/>
      <c r="G47" s="605"/>
      <c r="H47" s="605"/>
      <c r="I47" s="605"/>
      <c r="J47" s="605"/>
      <c r="K47" s="605"/>
      <c r="L47" s="605"/>
      <c r="M47" s="605"/>
      <c r="N47" s="605"/>
      <c r="O47" s="605"/>
      <c r="P47" s="605"/>
      <c r="Q47" s="605"/>
      <c r="R47" s="605"/>
      <c r="S47" s="606"/>
      <c r="T47" s="2"/>
      <c r="U47" s="2"/>
      <c r="V47" s="2"/>
      <c r="W47" s="2"/>
      <c r="X47" s="2"/>
      <c r="Y47" s="2"/>
      <c r="Z47" s="2"/>
      <c r="AA47" s="2"/>
      <c r="AB47" s="2"/>
      <c r="AC47" s="2" t="s">
        <v>448</v>
      </c>
      <c r="AD47" s="2"/>
      <c r="AE47" s="2" t="s">
        <v>304</v>
      </c>
      <c r="AF47" s="9"/>
      <c r="AG47" s="9"/>
      <c r="AH47" s="2"/>
      <c r="AI47" s="2" t="s">
        <v>449</v>
      </c>
      <c r="AJ47" s="2" t="s">
        <v>450</v>
      </c>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row>
    <row r="48" spans="1:79" ht="45" x14ac:dyDescent="0.25">
      <c r="A48" s="120"/>
      <c r="B48" s="2"/>
      <c r="C48" s="2"/>
      <c r="D48" s="2"/>
      <c r="E48" s="2"/>
      <c r="F48" s="2"/>
      <c r="G48" s="2"/>
      <c r="H48" s="2"/>
      <c r="I48" s="2"/>
      <c r="J48" s="2"/>
      <c r="K48" s="2"/>
      <c r="L48" s="2"/>
      <c r="M48" s="2"/>
      <c r="N48" s="2"/>
      <c r="O48" s="2"/>
      <c r="P48" s="2"/>
      <c r="Q48" s="2"/>
      <c r="R48" s="2"/>
      <c r="S48" s="121"/>
      <c r="T48" s="2"/>
      <c r="U48" s="603"/>
      <c r="V48" s="603"/>
      <c r="W48" s="603"/>
      <c r="X48" s="603"/>
      <c r="Y48" s="603"/>
      <c r="Z48" s="603"/>
      <c r="AA48" s="2"/>
      <c r="AB48" s="2" t="s">
        <v>44</v>
      </c>
      <c r="AC48" s="8">
        <f>IF(VLOOKUP($AB48,'Bicycle Parking Invest. Input'!$B$66:$F$71,4,FALSE)="DNE",0,VLOOKUP($AB48,'Bicycle Parking Invest. Input'!$B$66:$F$71,4,FALSE))</f>
        <v>0</v>
      </c>
      <c r="AD48" s="8"/>
      <c r="AE48" s="8">
        <f>IF(StationType=1,VLOOKUP(VLOOKUP(VLOOKUP('Bicycle Parking Invest. Input'!$C$12,Database!$A$2:$O$44,COLUMN(O1),FALSE),Database!$A$52:$B$56,2,FALSE),Database!$A$46:$BD$50,COLUMN(AY1)+AG48),VLOOKUP('Bicycle Parking Invest. Input'!$C$13,Database!$A$46:$BD$50,COLUMN(AY1)+AG48,FALSE))</f>
        <v>0.57999999999999996</v>
      </c>
      <c r="AF48" s="8"/>
      <c r="AG48" s="172">
        <v>0</v>
      </c>
      <c r="AH48" s="2"/>
      <c r="AI48" s="2">
        <v>0</v>
      </c>
      <c r="AJ48" s="2">
        <v>0</v>
      </c>
      <c r="AK48" s="10">
        <f>'Bicycle Parking Invest. Input'!D38</f>
        <v>0</v>
      </c>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s="145" customFormat="1" ht="45" x14ac:dyDescent="0.25">
      <c r="A49" s="120"/>
      <c r="B49" s="2"/>
      <c r="C49" s="2"/>
      <c r="D49" s="2"/>
      <c r="E49" s="2"/>
      <c r="F49" s="2"/>
      <c r="G49" s="2"/>
      <c r="H49" s="2"/>
      <c r="I49" s="2"/>
      <c r="J49" s="2"/>
      <c r="K49" s="2"/>
      <c r="L49" s="2"/>
      <c r="M49" s="2"/>
      <c r="N49" s="2"/>
      <c r="O49" s="2"/>
      <c r="P49" s="2"/>
      <c r="Q49" s="2"/>
      <c r="R49" s="2"/>
      <c r="S49" s="121"/>
      <c r="T49" s="2"/>
      <c r="U49" s="165"/>
      <c r="V49" s="165"/>
      <c r="W49" s="165"/>
      <c r="X49" s="165"/>
      <c r="Y49" s="165"/>
      <c r="Z49" s="165"/>
      <c r="AA49" s="2"/>
      <c r="AB49" s="2" t="s">
        <v>43</v>
      </c>
      <c r="AC49" s="8">
        <f>IF(VLOOKUP($AB49,'Bicycle Parking Invest. Input'!$B$66:$F$71,4,FALSE)="DNE",0,VLOOKUP($AB49,'Bicycle Parking Invest. Input'!$B$66:$F$71,4,FALSE))</f>
        <v>0.86</v>
      </c>
      <c r="AD49" s="8"/>
      <c r="AE49" s="8">
        <f>IF(StationType=1,VLOOKUP(VLOOKUP(VLOOKUP('Bicycle Parking Invest. Input'!$C$12,Database!$A$2:$O$44,COLUMN(O2),FALSE),Database!$A$52:$B$56,2,FALSE),Database!$A$46:$BD$50,COLUMN(AY2)+AG49),VLOOKUP('Bicycle Parking Invest. Input'!$C$13,Database!$A$46:$BD$50,COLUMN(AY2)+AG49,FALSE))</f>
        <v>0.2</v>
      </c>
      <c r="AF49" s="8"/>
      <c r="AG49" s="172">
        <v>1</v>
      </c>
      <c r="AH49" s="2"/>
      <c r="AI49" s="2">
        <v>0</v>
      </c>
      <c r="AJ49" s="2">
        <v>0</v>
      </c>
      <c r="AK49" s="10">
        <f>'Bicycle Parking Invest. Input'!D37</f>
        <v>21</v>
      </c>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row>
    <row r="50" spans="1:79" s="145" customFormat="1" ht="90.75" customHeight="1" x14ac:dyDescent="0.25">
      <c r="A50" s="120"/>
      <c r="B50" s="2"/>
      <c r="C50" s="2"/>
      <c r="D50" s="2"/>
      <c r="E50" s="2"/>
      <c r="F50" s="2"/>
      <c r="G50" s="2"/>
      <c r="H50" s="2"/>
      <c r="I50" s="2"/>
      <c r="J50" s="2"/>
      <c r="K50" s="2"/>
      <c r="L50" s="2"/>
      <c r="M50" s="2"/>
      <c r="N50" s="2"/>
      <c r="O50" s="2"/>
      <c r="P50" s="2"/>
      <c r="Q50" s="2"/>
      <c r="R50" s="2"/>
      <c r="S50" s="121"/>
      <c r="T50" s="2"/>
      <c r="U50" s="165"/>
      <c r="V50" s="165"/>
      <c r="W50" s="165"/>
      <c r="X50" s="165"/>
      <c r="Y50" s="165"/>
      <c r="Z50" s="165"/>
      <c r="AA50" s="2"/>
      <c r="AB50" s="2" t="s">
        <v>137</v>
      </c>
      <c r="AC50" s="8">
        <f>IF(VLOOKUP($AB50,'Bicycle Parking Invest. Input'!$B$66:$F$71,4,FALSE)="DNE",0,VLOOKUP($AB50,'Bicycle Parking Invest. Input'!$B$66:$F$71,4,FALSE))</f>
        <v>0</v>
      </c>
      <c r="AD50" s="8"/>
      <c r="AE50" s="8">
        <f>IF(StationType=1,VLOOKUP(VLOOKUP(VLOOKUP('Bicycle Parking Invest. Input'!$C$12,Database!$A$2:$O$44,COLUMN(O3),FALSE),Database!$A$52:$B$56,2,FALSE),Database!$A$46:$BD$50,COLUMN(AY3)+AG50),VLOOKUP('Bicycle Parking Invest. Input'!$C$13,Database!$A$46:$BD$50,COLUMN(AY3)+AG50,FALSE))</f>
        <v>0.32</v>
      </c>
      <c r="AF50" s="8"/>
      <c r="AG50" s="172">
        <v>2</v>
      </c>
      <c r="AH50" s="2"/>
      <c r="AI50" s="2">
        <v>0</v>
      </c>
      <c r="AJ50" s="2">
        <v>0</v>
      </c>
      <c r="AK50" s="10">
        <f>'Bicycle Parking Invest. Input'!D39</f>
        <v>0</v>
      </c>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22.5" x14ac:dyDescent="0.25">
      <c r="A51" s="120"/>
      <c r="B51" s="2"/>
      <c r="C51" s="2"/>
      <c r="D51" s="2"/>
      <c r="E51" s="2"/>
      <c r="F51" s="2"/>
      <c r="G51" s="2"/>
      <c r="H51" s="2"/>
      <c r="I51" s="2"/>
      <c r="J51" s="2"/>
      <c r="K51" s="2"/>
      <c r="L51" s="2"/>
      <c r="M51" s="2"/>
      <c r="N51" s="2"/>
      <c r="O51" s="2"/>
      <c r="P51" s="2"/>
      <c r="Q51" s="2"/>
      <c r="R51" s="2"/>
      <c r="S51" s="121"/>
      <c r="T51" s="2"/>
      <c r="U51" s="2"/>
      <c r="V51" s="2"/>
      <c r="W51" s="2"/>
      <c r="X51" s="2"/>
      <c r="Y51" s="2"/>
      <c r="Z51" s="2"/>
      <c r="AA51" s="2"/>
      <c r="AB51" s="2" t="s">
        <v>151</v>
      </c>
      <c r="AC51" s="8">
        <f>IF(VLOOKUP($AB51,'Bicycle Parking Invest. Input'!$B$66:$F$71,4,FALSE)="DNE",0,VLOOKUP($AB51,'Bicycle Parking Invest. Input'!$B$66:$F$71,4,FALSE))</f>
        <v>0.91</v>
      </c>
      <c r="AD51" s="8"/>
      <c r="AE51" s="8">
        <f>IF(StationType=1,VLOOKUP(VLOOKUP(VLOOKUP('Bicycle Parking Invest. Input'!$C$12,Database!$A$2:$O$44,COLUMN(O4),FALSE),Database!$A$52:$B$56,2,FALSE),Database!$A$46:$BD$50,COLUMN(AY4)+AG51),VLOOKUP('Bicycle Parking Invest. Input'!$C$13,Database!$A$46:$BD$50,COLUMN(AY4)+AG51,FALSE))</f>
        <v>0.6</v>
      </c>
      <c r="AF51" s="8"/>
      <c r="AG51" s="172">
        <v>3</v>
      </c>
      <c r="AH51" s="2"/>
      <c r="AI51" s="2">
        <v>0</v>
      </c>
      <c r="AJ51" s="2">
        <v>0</v>
      </c>
      <c r="AK51" s="10">
        <f>'Bicycle Parking Invest. Input'!D40</f>
        <v>32</v>
      </c>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79" ht="45" x14ac:dyDescent="0.25">
      <c r="A52" s="120"/>
      <c r="B52" s="2"/>
      <c r="C52" s="2"/>
      <c r="D52" s="2"/>
      <c r="E52" s="2"/>
      <c r="F52" s="2"/>
      <c r="G52" s="2"/>
      <c r="H52" s="2"/>
      <c r="I52" s="2"/>
      <c r="J52" s="2"/>
      <c r="K52" s="2"/>
      <c r="L52" s="2"/>
      <c r="M52" s="2"/>
      <c r="N52" s="2"/>
      <c r="O52" s="2"/>
      <c r="P52" s="2"/>
      <c r="Q52" s="2"/>
      <c r="R52" s="2"/>
      <c r="S52" s="121"/>
      <c r="T52" s="2"/>
      <c r="U52" s="2"/>
      <c r="V52" s="2"/>
      <c r="W52" s="2"/>
      <c r="X52" s="2"/>
      <c r="Y52" s="2"/>
      <c r="Z52" s="2"/>
      <c r="AA52" s="2"/>
      <c r="AB52" s="2" t="s">
        <v>152</v>
      </c>
      <c r="AC52" s="8">
        <f>IF(VLOOKUP($AB52,'Bicycle Parking Invest. Input'!$B$66:$F$71,4,FALSE)="DNE",0,VLOOKUP($AB52,'Bicycle Parking Invest. Input'!$B$66:$F$71,4,FALSE))</f>
        <v>0</v>
      </c>
      <c r="AD52" s="8"/>
      <c r="AE52" s="8">
        <f>IF(StationType=1,VLOOKUP(VLOOKUP(VLOOKUP('Bicycle Parking Invest. Input'!$C$12,Database!$A$2:$O$44,COLUMN(O5),FALSE),Database!$A$52:$B$56,2,FALSE),Database!$A$46:$BD$50,COLUMN(AY5)+AG52),VLOOKUP('Bicycle Parking Invest. Input'!$C$13,Database!$A$46:$BD$50,COLUMN(AY5)+AG52,FALSE))</f>
        <v>0.57999999999999996</v>
      </c>
      <c r="AF52" s="8"/>
      <c r="AG52" s="172">
        <v>4</v>
      </c>
      <c r="AH52" s="2"/>
      <c r="AI52" s="2">
        <v>0</v>
      </c>
      <c r="AJ52" s="2">
        <v>0</v>
      </c>
      <c r="AK52" s="10">
        <f>'Bicycle Parking Invest. Input'!D41</f>
        <v>0</v>
      </c>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33.75" x14ac:dyDescent="0.25">
      <c r="A53" s="120"/>
      <c r="B53" s="2"/>
      <c r="C53" s="2"/>
      <c r="D53" s="2"/>
      <c r="E53" s="2"/>
      <c r="F53" s="2"/>
      <c r="G53" s="2"/>
      <c r="H53" s="2"/>
      <c r="I53" s="2"/>
      <c r="J53" s="2"/>
      <c r="K53" s="2"/>
      <c r="L53" s="2"/>
      <c r="M53" s="2"/>
      <c r="N53" s="2"/>
      <c r="O53" s="2"/>
      <c r="P53" s="2"/>
      <c r="Q53" s="2"/>
      <c r="R53" s="2"/>
      <c r="S53" s="121"/>
      <c r="T53" s="2"/>
      <c r="U53" s="2"/>
      <c r="V53" s="2"/>
      <c r="W53" s="2"/>
      <c r="X53" s="2"/>
      <c r="Y53" s="2"/>
      <c r="Z53" s="2"/>
      <c r="AA53" s="2"/>
      <c r="AB53" s="2" t="s">
        <v>150</v>
      </c>
      <c r="AC53" s="8">
        <f>IF(VLOOKUP($AB53,'Bicycle Parking Invest. Input'!$B$66:$F$71,4,FALSE)="DNE",0,VLOOKUP($AB53,'Bicycle Parking Invest. Input'!$B$66:$F$71,4,FALSE))</f>
        <v>0</v>
      </c>
      <c r="AD53" s="8"/>
      <c r="AE53" s="8">
        <f>IF(StationType=1,VLOOKUP(VLOOKUP(VLOOKUP('Bicycle Parking Invest. Input'!$C$12,Database!$A$2:$O$44,COLUMN(O6),FALSE),Database!$A$52:$B$56,2,FALSE),Database!$A$46:$BD$50,COLUMN(AY6)+AG53),VLOOKUP('Bicycle Parking Invest. Input'!$C$13,Database!$A$46:$BD$50,COLUMN(AY6)+AG53,FALSE))</f>
        <v>0.71999999999999975</v>
      </c>
      <c r="AF53" s="8"/>
      <c r="AG53" s="172">
        <v>5</v>
      </c>
      <c r="AH53" s="2"/>
      <c r="AI53" s="2">
        <v>0</v>
      </c>
      <c r="AJ53" s="2">
        <v>0</v>
      </c>
      <c r="AK53" s="10">
        <f>'Bicycle Parking Invest. Input'!D42</f>
        <v>0</v>
      </c>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row r="54" spans="1:79" x14ac:dyDescent="0.25">
      <c r="A54" s="120"/>
      <c r="B54" s="2"/>
      <c r="C54" s="2"/>
      <c r="D54" s="2"/>
      <c r="E54" s="2"/>
      <c r="F54" s="2"/>
      <c r="G54" s="2"/>
      <c r="H54" s="2"/>
      <c r="I54" s="2"/>
      <c r="J54" s="2"/>
      <c r="K54" s="2"/>
      <c r="L54" s="2"/>
      <c r="M54" s="2"/>
      <c r="N54" s="2"/>
      <c r="O54" s="2"/>
      <c r="P54" s="2"/>
      <c r="Q54" s="2"/>
      <c r="R54" s="2"/>
      <c r="S54" s="121"/>
      <c r="T54" s="2"/>
      <c r="U54" s="2"/>
      <c r="V54" s="2"/>
      <c r="W54" s="2"/>
      <c r="X54" s="2"/>
      <c r="Y54" s="2"/>
      <c r="Z54" s="2"/>
      <c r="AA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x14ac:dyDescent="0.25">
      <c r="A55" s="120"/>
      <c r="B55" s="2"/>
      <c r="C55" s="2"/>
      <c r="D55" s="2"/>
      <c r="E55" s="2"/>
      <c r="F55" s="2"/>
      <c r="G55" s="2"/>
      <c r="H55" s="2"/>
      <c r="I55" s="2"/>
      <c r="J55" s="2"/>
      <c r="K55" s="2"/>
      <c r="L55" s="2"/>
      <c r="M55" s="2"/>
      <c r="N55" s="2"/>
      <c r="O55" s="2"/>
      <c r="P55" s="2"/>
      <c r="Q55" s="2"/>
      <c r="R55" s="2"/>
      <c r="S55" s="121"/>
      <c r="T55" s="2"/>
      <c r="U55" s="2"/>
      <c r="V55" s="2"/>
      <c r="W55" s="2"/>
      <c r="X55" s="2"/>
      <c r="Y55" s="2"/>
      <c r="Z55" s="2"/>
      <c r="AA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row>
    <row r="56" spans="1:79" x14ac:dyDescent="0.25">
      <c r="A56" s="120"/>
      <c r="B56" s="2"/>
      <c r="C56" s="2"/>
      <c r="D56" s="2"/>
      <c r="E56" s="2"/>
      <c r="F56" s="2"/>
      <c r="G56" s="2"/>
      <c r="H56" s="2"/>
      <c r="I56" s="2"/>
      <c r="J56" s="2"/>
      <c r="K56" s="2"/>
      <c r="L56" s="2"/>
      <c r="M56" s="2"/>
      <c r="N56" s="2"/>
      <c r="O56" s="2"/>
      <c r="P56" s="2"/>
      <c r="Q56" s="2"/>
      <c r="R56" s="2"/>
      <c r="S56" s="121"/>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x14ac:dyDescent="0.25">
      <c r="A57" s="120"/>
      <c r="B57" s="12"/>
      <c r="C57" s="12"/>
      <c r="D57" s="12"/>
      <c r="E57" s="12"/>
      <c r="F57" s="12"/>
      <c r="G57" s="12"/>
      <c r="H57" s="12"/>
      <c r="I57" s="12"/>
      <c r="J57" s="12"/>
      <c r="K57" s="12"/>
      <c r="L57" s="12"/>
      <c r="M57" s="12"/>
      <c r="N57" s="12"/>
      <c r="O57" s="12"/>
      <c r="P57" s="12"/>
      <c r="Q57" s="12"/>
      <c r="R57" s="12"/>
      <c r="S57" s="121"/>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row>
    <row r="58" spans="1:79" x14ac:dyDescent="0.25">
      <c r="A58" s="120"/>
      <c r="B58" s="12"/>
      <c r="C58" s="11"/>
      <c r="D58" s="12"/>
      <c r="E58" s="12"/>
      <c r="F58" s="12"/>
      <c r="G58" s="12"/>
      <c r="H58" s="12"/>
      <c r="I58" s="12"/>
      <c r="J58" s="12"/>
      <c r="K58" s="12"/>
      <c r="L58" s="12"/>
      <c r="M58" s="12"/>
      <c r="N58" s="12"/>
      <c r="O58" s="12"/>
      <c r="P58" s="12"/>
      <c r="Q58" s="12"/>
      <c r="R58" s="12"/>
      <c r="S58" s="121"/>
      <c r="T58" s="2"/>
      <c r="U58" s="2"/>
      <c r="V58" s="2"/>
      <c r="W58" s="2"/>
      <c r="X58" s="2"/>
      <c r="Y58" s="2"/>
      <c r="Z58" s="2"/>
      <c r="AA58" s="2"/>
      <c r="AB58" s="13" t="s">
        <v>288</v>
      </c>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x14ac:dyDescent="0.25">
      <c r="A59" s="120"/>
      <c r="B59" s="12"/>
      <c r="C59" s="12"/>
      <c r="D59" s="12"/>
      <c r="E59" s="12"/>
      <c r="F59" s="12"/>
      <c r="G59" s="12"/>
      <c r="H59" s="12"/>
      <c r="I59" s="12"/>
      <c r="J59" s="12"/>
      <c r="K59" s="12"/>
      <c r="L59" s="12"/>
      <c r="M59" s="12"/>
      <c r="N59" s="12"/>
      <c r="O59" s="12"/>
      <c r="P59" s="12"/>
      <c r="Q59" s="12"/>
      <c r="R59" s="12"/>
      <c r="S59" s="121"/>
      <c r="T59" s="2"/>
      <c r="U59" s="2"/>
      <c r="V59" s="2"/>
      <c r="W59" s="2"/>
      <c r="X59" s="2"/>
      <c r="Y59" s="2"/>
      <c r="Z59" s="2"/>
      <c r="AA59" s="2"/>
      <c r="AB59" s="2"/>
      <c r="AC59" s="2"/>
      <c r="AD59" s="2" t="s">
        <v>42</v>
      </c>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79" x14ac:dyDescent="0.25">
      <c r="A60" s="120"/>
      <c r="B60" s="2"/>
      <c r="C60" s="2"/>
      <c r="D60" s="2"/>
      <c r="E60" s="2"/>
      <c r="F60" s="2"/>
      <c r="G60" s="2"/>
      <c r="H60" s="2"/>
      <c r="I60" s="2"/>
      <c r="J60" s="2"/>
      <c r="K60" s="2"/>
      <c r="L60" s="2"/>
      <c r="M60" s="2"/>
      <c r="N60" s="2"/>
      <c r="O60" s="2"/>
      <c r="P60" s="2"/>
      <c r="Q60" s="2"/>
      <c r="R60" s="2"/>
      <c r="S60" s="121"/>
      <c r="T60" s="2"/>
      <c r="U60" s="2"/>
      <c r="V60" s="2"/>
      <c r="W60" s="2"/>
      <c r="X60" s="2"/>
      <c r="Y60" s="2"/>
      <c r="Z60" s="2"/>
      <c r="AA60" s="2"/>
      <c r="AB60" s="2" t="s">
        <v>153</v>
      </c>
      <c r="AC60" s="2" t="s">
        <v>230</v>
      </c>
      <c r="AD60" s="2" t="s">
        <v>19</v>
      </c>
      <c r="AE60" s="2" t="s">
        <v>19</v>
      </c>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22.5" x14ac:dyDescent="0.25">
      <c r="A61" s="120"/>
      <c r="B61" s="2"/>
      <c r="C61" s="2"/>
      <c r="D61" s="2"/>
      <c r="E61" s="2"/>
      <c r="F61" s="2"/>
      <c r="G61" s="2"/>
      <c r="H61" s="2"/>
      <c r="I61" s="2"/>
      <c r="J61" s="2"/>
      <c r="K61" s="2"/>
      <c r="L61" s="2"/>
      <c r="M61" s="2"/>
      <c r="N61" s="2"/>
      <c r="O61" s="2"/>
      <c r="P61" s="2"/>
      <c r="Q61" s="2"/>
      <c r="R61" s="2"/>
      <c r="S61" s="121"/>
      <c r="T61" s="2"/>
      <c r="U61" s="2"/>
      <c r="V61" s="2"/>
      <c r="W61" s="2"/>
      <c r="X61" s="2"/>
      <c r="Y61" s="2"/>
      <c r="Z61" s="2"/>
      <c r="AA61" s="2"/>
      <c r="AB61" s="2" t="s">
        <v>18</v>
      </c>
      <c r="AC61" s="10">
        <f>Calculations!H23</f>
        <v>43.777681645705961</v>
      </c>
      <c r="AD61" s="10">
        <f>AE61</f>
        <v>199.45170277938018</v>
      </c>
      <c r="AE61" s="10">
        <f>Calculations!N23</f>
        <v>199.45170277938018</v>
      </c>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row>
    <row r="62" spans="1:79" ht="22.5" x14ac:dyDescent="0.25">
      <c r="A62" s="120"/>
      <c r="B62" s="2"/>
      <c r="C62" s="2"/>
      <c r="D62" s="2"/>
      <c r="E62" s="2"/>
      <c r="F62" s="2"/>
      <c r="G62" s="2"/>
      <c r="H62" s="2"/>
      <c r="I62" s="2"/>
      <c r="J62" s="2"/>
      <c r="K62" s="2"/>
      <c r="L62" s="2"/>
      <c r="M62" s="2"/>
      <c r="N62" s="2"/>
      <c r="O62" s="2"/>
      <c r="P62" s="2"/>
      <c r="Q62" s="2"/>
      <c r="R62" s="2"/>
      <c r="S62" s="121"/>
      <c r="T62" s="2"/>
      <c r="U62" s="2"/>
      <c r="V62" s="2"/>
      <c r="W62" s="2"/>
      <c r="X62" s="2"/>
      <c r="Y62" s="2"/>
      <c r="Z62" s="2"/>
      <c r="AA62" s="2"/>
      <c r="AB62" s="2" t="s">
        <v>17</v>
      </c>
      <c r="AC62" s="10">
        <f>Calculations!H25</f>
        <v>181.12821235429402</v>
      </c>
      <c r="AD62" s="10">
        <f>AE62</f>
        <v>456.47919122061978</v>
      </c>
      <c r="AE62" s="10">
        <f>Calculations!N25</f>
        <v>456.47919122061978</v>
      </c>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22.5" x14ac:dyDescent="0.25">
      <c r="A63" s="120"/>
      <c r="B63" s="2"/>
      <c r="C63" s="2"/>
      <c r="D63" s="2"/>
      <c r="E63" s="2"/>
      <c r="F63" s="2"/>
      <c r="G63" s="2"/>
      <c r="H63" s="2"/>
      <c r="I63" s="2"/>
      <c r="J63" s="2"/>
      <c r="K63" s="2"/>
      <c r="L63" s="2"/>
      <c r="M63" s="2"/>
      <c r="N63" s="2"/>
      <c r="O63" s="2"/>
      <c r="P63" s="2"/>
      <c r="Q63" s="2"/>
      <c r="R63" s="2"/>
      <c r="S63" s="121"/>
      <c r="T63" s="2"/>
      <c r="U63" s="2"/>
      <c r="V63" s="2"/>
      <c r="W63" s="2"/>
      <c r="X63" s="2"/>
      <c r="Y63" s="2"/>
      <c r="Z63" s="2"/>
      <c r="AA63" s="2"/>
      <c r="AB63" s="2" t="s">
        <v>259</v>
      </c>
      <c r="AC63" s="10">
        <f>AC61+AC62</f>
        <v>224.90589399999999</v>
      </c>
      <c r="AD63" s="10">
        <f>AE63</f>
        <v>655.93089399999997</v>
      </c>
      <c r="AE63" s="10">
        <f>AE61+AE62</f>
        <v>655.93089399999997</v>
      </c>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row>
    <row r="64" spans="1:79" x14ac:dyDescent="0.25">
      <c r="A64" s="120"/>
      <c r="B64" s="2"/>
      <c r="C64" s="2"/>
      <c r="D64" s="2"/>
      <c r="E64" s="2"/>
      <c r="F64" s="2"/>
      <c r="G64" s="2"/>
      <c r="H64" s="2"/>
      <c r="I64" s="2"/>
      <c r="J64" s="2"/>
      <c r="K64" s="2"/>
      <c r="L64" s="2"/>
      <c r="M64" s="2"/>
      <c r="N64" s="2"/>
      <c r="O64" s="2"/>
      <c r="P64" s="2"/>
      <c r="Q64" s="2"/>
      <c r="R64" s="2"/>
      <c r="S64" s="121"/>
      <c r="T64" s="2"/>
      <c r="U64" s="2"/>
      <c r="V64" s="2"/>
      <c r="W64" s="2"/>
      <c r="X64" s="2"/>
      <c r="Y64" s="2"/>
      <c r="Z64" s="2"/>
      <c r="AA64" s="2"/>
      <c r="AB64" s="13" t="s">
        <v>289</v>
      </c>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45" x14ac:dyDescent="0.25">
      <c r="A65" s="125"/>
      <c r="B65" s="126"/>
      <c r="C65" s="126"/>
      <c r="D65" s="126"/>
      <c r="E65" s="126"/>
      <c r="F65" s="126"/>
      <c r="G65" s="126"/>
      <c r="H65" s="126"/>
      <c r="I65" s="126"/>
      <c r="J65" s="126"/>
      <c r="K65" s="126"/>
      <c r="L65" s="126"/>
      <c r="M65" s="126"/>
      <c r="N65" s="126"/>
      <c r="O65" s="126"/>
      <c r="P65" s="126"/>
      <c r="Q65" s="126"/>
      <c r="R65" s="126"/>
      <c r="S65" s="127"/>
      <c r="T65" s="2"/>
      <c r="U65" s="2"/>
      <c r="V65" s="2"/>
      <c r="W65" s="2"/>
      <c r="X65" s="2"/>
      <c r="Y65" s="2"/>
      <c r="Z65" s="2"/>
      <c r="AA65" s="2"/>
      <c r="AB65" s="2"/>
      <c r="AC65" s="2" t="s">
        <v>230</v>
      </c>
      <c r="AD65" s="2" t="s">
        <v>44</v>
      </c>
      <c r="AE65" s="2" t="s">
        <v>43</v>
      </c>
      <c r="AF65" s="2" t="s">
        <v>137</v>
      </c>
      <c r="AG65" s="2" t="s">
        <v>151</v>
      </c>
      <c r="AH65" s="2" t="s">
        <v>152</v>
      </c>
      <c r="AI65" s="2" t="s">
        <v>150</v>
      </c>
      <c r="AJ65" s="2" t="s">
        <v>239</v>
      </c>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row>
    <row r="66" spans="1:79" s="97" customFormat="1" x14ac:dyDescent="0.25">
      <c r="A66" s="129"/>
      <c r="B66" s="129"/>
      <c r="C66" s="129"/>
      <c r="D66" s="129"/>
      <c r="E66" s="129"/>
      <c r="F66" s="129"/>
      <c r="G66" s="129"/>
      <c r="H66" s="129"/>
      <c r="I66" s="129"/>
      <c r="J66" s="129"/>
      <c r="K66" s="129"/>
      <c r="L66" s="129"/>
      <c r="M66" s="129"/>
      <c r="N66" s="129"/>
      <c r="O66" s="129"/>
      <c r="P66" s="129"/>
      <c r="Q66" s="129"/>
      <c r="R66" s="129"/>
      <c r="S66" s="133"/>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s="97" customFormat="1" x14ac:dyDescent="0.25">
      <c r="A67" s="130"/>
      <c r="B67" s="128"/>
      <c r="C67" s="128"/>
      <c r="D67" s="128"/>
      <c r="E67" s="128"/>
      <c r="F67" s="128"/>
      <c r="G67" s="163"/>
      <c r="H67" s="128"/>
      <c r="I67" s="128"/>
      <c r="J67" s="128"/>
      <c r="K67" s="128"/>
      <c r="L67" s="128"/>
      <c r="M67" s="128"/>
      <c r="N67" s="128"/>
      <c r="O67" s="128"/>
      <c r="P67" s="128"/>
      <c r="Q67" s="128"/>
      <c r="R67" s="128"/>
      <c r="S67" s="131"/>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row>
    <row r="68" spans="1:79" ht="33.950000000000003" customHeight="1" x14ac:dyDescent="0.25">
      <c r="A68" s="600" t="s">
        <v>279</v>
      </c>
      <c r="B68" s="601"/>
      <c r="C68" s="601"/>
      <c r="D68" s="601"/>
      <c r="E68" s="601"/>
      <c r="F68" s="601"/>
      <c r="G68" s="601"/>
      <c r="H68" s="601"/>
      <c r="I68" s="601"/>
      <c r="J68" s="601"/>
      <c r="K68" s="601"/>
      <c r="L68" s="601"/>
      <c r="M68" s="601"/>
      <c r="N68" s="601"/>
      <c r="O68" s="601"/>
      <c r="P68" s="601"/>
      <c r="Q68" s="601"/>
      <c r="R68" s="601"/>
      <c r="S68" s="602"/>
      <c r="T68" s="2"/>
      <c r="U68" s="2"/>
      <c r="V68" s="2"/>
      <c r="W68" s="2"/>
      <c r="X68" s="2"/>
      <c r="Y68" s="2"/>
      <c r="Z68" s="2"/>
      <c r="AA68" s="2"/>
      <c r="AB68" s="2" t="s">
        <v>171</v>
      </c>
      <c r="AC68" s="10">
        <f>Calculations!H12</f>
        <v>224.90589399999999</v>
      </c>
      <c r="AD68" s="10">
        <f>Calculations!N7</f>
        <v>63.375</v>
      </c>
      <c r="AE68" s="10">
        <f>Calculations!N8</f>
        <v>0</v>
      </c>
      <c r="AF68" s="10">
        <f>Calculations!N9</f>
        <v>0</v>
      </c>
      <c r="AG68" s="10">
        <f>Calculations!N10</f>
        <v>52.650000000000006</v>
      </c>
      <c r="AH68" s="10">
        <f>Calculations!N5</f>
        <v>0</v>
      </c>
      <c r="AI68" s="10">
        <f>Calculations!N6</f>
        <v>315</v>
      </c>
      <c r="AJ68" s="10">
        <f>Calculations!N11</f>
        <v>0</v>
      </c>
      <c r="AK68" s="10">
        <f>SUM(AD68:AJ68)</f>
        <v>431.02499999999998</v>
      </c>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row>
    <row r="69" spans="1:79" x14ac:dyDescent="0.25">
      <c r="A69" s="120"/>
      <c r="B69" s="2"/>
      <c r="C69" s="2"/>
      <c r="D69" s="2"/>
      <c r="E69" s="2"/>
      <c r="F69" s="2"/>
      <c r="G69" s="2"/>
      <c r="H69" s="2"/>
      <c r="I69" s="2"/>
      <c r="J69" s="2"/>
      <c r="K69" s="2"/>
      <c r="L69" s="2"/>
      <c r="M69" s="2"/>
      <c r="N69" s="2"/>
      <c r="O69" s="2"/>
      <c r="P69" s="2"/>
      <c r="Q69" s="2"/>
      <c r="R69" s="2"/>
      <c r="S69" s="121"/>
      <c r="T69" s="2"/>
      <c r="U69" s="2"/>
      <c r="V69" s="2"/>
      <c r="W69" s="2"/>
      <c r="X69" s="2"/>
      <c r="Y69" s="2"/>
      <c r="Z69" s="2"/>
      <c r="AA69" s="2"/>
      <c r="AB69" s="2"/>
      <c r="AC69" s="10"/>
      <c r="AD69" s="8" t="str">
        <f t="shared" ref="AD69" si="1">IFERROR("("&amp;AD71&amp;"%)","(0%)")</f>
        <v>(15%)</v>
      </c>
      <c r="AE69" s="8" t="str">
        <f t="shared" ref="AE69:AJ69" si="2">IFERROR("("&amp;AE71&amp;"%)","(0%)")</f>
        <v>(0%)</v>
      </c>
      <c r="AF69" s="8" t="str">
        <f t="shared" si="2"/>
        <v>(0%)</v>
      </c>
      <c r="AG69" s="8" t="str">
        <f t="shared" si="2"/>
        <v>(12%)</v>
      </c>
      <c r="AH69" s="8" t="str">
        <f t="shared" si="2"/>
        <v>(0%)</v>
      </c>
      <c r="AI69" s="8" t="str">
        <f t="shared" si="2"/>
        <v>(73%)</v>
      </c>
      <c r="AJ69" s="8" t="str">
        <f t="shared" si="2"/>
        <v>(0%)</v>
      </c>
      <c r="AK69" s="2" t="str">
        <f>"(100%)"</f>
        <v>(100%)</v>
      </c>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row>
    <row r="70" spans="1:79" x14ac:dyDescent="0.25">
      <c r="A70" s="120"/>
      <c r="B70" s="2"/>
      <c r="C70" s="2"/>
      <c r="D70" s="2"/>
      <c r="E70" s="2"/>
      <c r="F70" s="2"/>
      <c r="G70" s="2"/>
      <c r="H70" s="2"/>
      <c r="I70" s="2"/>
      <c r="J70" s="2"/>
      <c r="K70" s="2"/>
      <c r="L70" s="2"/>
      <c r="M70" s="2"/>
      <c r="N70" s="2"/>
      <c r="O70" s="2"/>
      <c r="P70" s="2"/>
      <c r="Q70" s="2"/>
      <c r="R70" s="2"/>
      <c r="S70" s="121"/>
      <c r="T70" s="2"/>
      <c r="U70" s="2"/>
      <c r="V70" s="2"/>
      <c r="W70" s="2"/>
      <c r="X70" s="2"/>
      <c r="Y70" s="2"/>
      <c r="Z70" s="2"/>
      <c r="AA70" s="2"/>
      <c r="AB70" s="2"/>
      <c r="AC70" s="10"/>
      <c r="AD70" s="10">
        <f>100*(ROUND(AD68/SUM($AD$68:$AJ$68),2))</f>
        <v>15</v>
      </c>
      <c r="AE70" s="10">
        <f t="shared" ref="AE70:AJ70" si="3">100*(ROUND(AE68/SUM($AD$68:$AJ$68),2))</f>
        <v>0</v>
      </c>
      <c r="AF70" s="10">
        <f t="shared" si="3"/>
        <v>0</v>
      </c>
      <c r="AG70" s="10">
        <f t="shared" si="3"/>
        <v>12</v>
      </c>
      <c r="AH70" s="10">
        <f t="shared" si="3"/>
        <v>0</v>
      </c>
      <c r="AI70" s="10">
        <f t="shared" si="3"/>
        <v>73</v>
      </c>
      <c r="AJ70" s="10">
        <f t="shared" si="3"/>
        <v>0</v>
      </c>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row>
    <row r="71" spans="1:79" x14ac:dyDescent="0.25">
      <c r="A71" s="120"/>
      <c r="B71" s="2"/>
      <c r="C71" s="2"/>
      <c r="D71" s="2"/>
      <c r="E71" s="2"/>
      <c r="F71" s="2"/>
      <c r="G71" s="2"/>
      <c r="H71" s="2"/>
      <c r="I71" s="2"/>
      <c r="J71" s="2"/>
      <c r="K71" s="2"/>
      <c r="L71" s="2"/>
      <c r="M71" s="2"/>
      <c r="N71" s="2"/>
      <c r="O71" s="2"/>
      <c r="P71" s="2"/>
      <c r="Q71" s="2"/>
      <c r="R71" s="2"/>
      <c r="S71" s="121"/>
      <c r="T71" s="2"/>
      <c r="U71" s="2"/>
      <c r="V71" s="2"/>
      <c r="W71" s="2"/>
      <c r="X71" s="2"/>
      <c r="Y71" s="2"/>
      <c r="Z71" s="2"/>
      <c r="AA71" s="2"/>
      <c r="AB71" s="2"/>
      <c r="AC71" s="2"/>
      <c r="AD71" s="2">
        <f>IF(AD70=MAX($AD$70:$AJ$70),100-SUM($AD$70:$AJ$70)+AD70,AD70)</f>
        <v>15</v>
      </c>
      <c r="AE71" s="2">
        <f t="shared" ref="AE71:AJ71" si="4">IF(AE70=MAX($AD$70:$AJ$70),100-SUM($AD$70:$AJ$70)+AE70,AE70)</f>
        <v>0</v>
      </c>
      <c r="AF71" s="2">
        <f t="shared" si="4"/>
        <v>0</v>
      </c>
      <c r="AG71" s="2">
        <f t="shared" si="4"/>
        <v>12</v>
      </c>
      <c r="AH71" s="2">
        <f t="shared" si="4"/>
        <v>0</v>
      </c>
      <c r="AI71" s="2">
        <f t="shared" si="4"/>
        <v>73</v>
      </c>
      <c r="AJ71" s="2">
        <f t="shared" si="4"/>
        <v>0</v>
      </c>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row>
    <row r="72" spans="1:79" s="145" customFormat="1" x14ac:dyDescent="0.25">
      <c r="A72" s="120"/>
      <c r="B72" s="2"/>
      <c r="C72" s="2"/>
      <c r="D72" s="2"/>
      <c r="E72" s="2"/>
      <c r="F72" s="2"/>
      <c r="G72" s="2"/>
      <c r="H72" s="2"/>
      <c r="I72" s="2"/>
      <c r="J72" s="2"/>
      <c r="K72" s="2"/>
      <c r="L72" s="2"/>
      <c r="M72" s="2"/>
      <c r="N72" s="2"/>
      <c r="O72" s="2"/>
      <c r="P72" s="2"/>
      <c r="Q72" s="2"/>
      <c r="R72" s="2"/>
      <c r="S72" s="121"/>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row>
    <row r="73" spans="1:79" s="97" customFormat="1" ht="30.75" customHeight="1" x14ac:dyDescent="0.25">
      <c r="A73" s="120"/>
      <c r="B73" s="2"/>
      <c r="C73" s="2"/>
      <c r="D73" s="2"/>
      <c r="E73" s="2"/>
      <c r="F73" s="2"/>
      <c r="G73" s="2"/>
      <c r="H73" s="2"/>
      <c r="I73" s="2"/>
      <c r="J73" s="2"/>
      <c r="K73" s="2"/>
      <c r="L73" s="2"/>
      <c r="M73" s="2"/>
      <c r="N73" s="2"/>
      <c r="O73" s="2"/>
      <c r="P73" s="2"/>
      <c r="Q73" s="2"/>
      <c r="R73" s="2"/>
      <c r="S73" s="121"/>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row>
    <row r="74" spans="1:79" ht="5.25" customHeight="1" x14ac:dyDescent="0.25">
      <c r="A74" s="120"/>
      <c r="B74" s="2"/>
      <c r="C74" s="2"/>
      <c r="D74" s="2"/>
      <c r="E74" s="2"/>
      <c r="F74" s="2"/>
      <c r="G74" s="2"/>
      <c r="H74" s="2"/>
      <c r="I74" s="2"/>
      <c r="J74" s="2"/>
      <c r="K74" s="2"/>
      <c r="L74" s="2"/>
      <c r="M74" s="2"/>
      <c r="N74" s="2"/>
      <c r="O74" s="2"/>
      <c r="P74" s="2"/>
      <c r="Q74" s="2"/>
      <c r="R74" s="2"/>
      <c r="S74" s="121"/>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row>
    <row r="75" spans="1:79" x14ac:dyDescent="0.25">
      <c r="A75" s="120"/>
      <c r="B75" s="2"/>
      <c r="C75" s="2"/>
      <c r="D75" s="2"/>
      <c r="E75" s="2"/>
      <c r="F75" s="2"/>
      <c r="G75" s="2"/>
      <c r="H75" s="2"/>
      <c r="I75" s="2"/>
      <c r="J75" s="2"/>
      <c r="K75" s="2"/>
      <c r="L75" s="2"/>
      <c r="M75" s="2"/>
      <c r="N75" s="2"/>
      <c r="O75" s="2"/>
      <c r="P75" s="2"/>
      <c r="Q75" s="2"/>
      <c r="R75" s="2"/>
      <c r="S75" s="121"/>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row>
    <row r="76" spans="1:79" x14ac:dyDescent="0.25">
      <c r="A76" s="120"/>
      <c r="B76" s="2"/>
      <c r="C76" s="2"/>
      <c r="D76" s="2"/>
      <c r="E76" s="2"/>
      <c r="F76" s="2"/>
      <c r="G76" s="2"/>
      <c r="H76" s="2"/>
      <c r="I76" s="2"/>
      <c r="J76" s="2"/>
      <c r="K76" s="2"/>
      <c r="L76" s="2"/>
      <c r="M76" s="2"/>
      <c r="N76" s="2"/>
      <c r="O76" s="2"/>
      <c r="P76" s="2"/>
      <c r="Q76" s="2"/>
      <c r="R76" s="2"/>
      <c r="S76" s="121"/>
      <c r="T76" s="2"/>
      <c r="U76" s="2"/>
      <c r="V76" s="2"/>
      <c r="W76" s="2"/>
      <c r="X76" s="2"/>
      <c r="Y76" s="2"/>
      <c r="Z76" s="2"/>
      <c r="AA76" s="2"/>
      <c r="AB76" s="13" t="s">
        <v>290</v>
      </c>
      <c r="AC76" s="2"/>
      <c r="AD76" s="2"/>
      <c r="AE76" s="2">
        <f>StationType</f>
        <v>1</v>
      </c>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row>
    <row r="77" spans="1:79" ht="22.5" x14ac:dyDescent="0.25">
      <c r="A77" s="120"/>
      <c r="B77" s="2"/>
      <c r="C77" s="2"/>
      <c r="D77" s="2"/>
      <c r="E77" s="2"/>
      <c r="F77" s="2"/>
      <c r="G77" s="2"/>
      <c r="H77" s="2"/>
      <c r="I77" s="2"/>
      <c r="J77" s="2"/>
      <c r="K77" s="2"/>
      <c r="L77" s="2"/>
      <c r="M77" s="2"/>
      <c r="N77" s="2"/>
      <c r="O77" s="2"/>
      <c r="P77" s="2"/>
      <c r="Q77" s="2"/>
      <c r="R77" s="2"/>
      <c r="S77" s="121"/>
      <c r="T77" s="2"/>
      <c r="U77" s="2"/>
      <c r="V77" s="2"/>
      <c r="W77" s="2"/>
      <c r="X77" s="2"/>
      <c r="Y77" s="2"/>
      <c r="Z77" s="2"/>
      <c r="AA77" s="2"/>
      <c r="AB77" s="2" t="s">
        <v>66</v>
      </c>
      <c r="AC77" s="2" t="s">
        <v>230</v>
      </c>
      <c r="AD77" s="2" t="s">
        <v>19</v>
      </c>
      <c r="AE77" s="2" t="s">
        <v>211</v>
      </c>
      <c r="AF77" s="2" t="s">
        <v>285</v>
      </c>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row>
    <row r="78" spans="1:79" ht="22.5" x14ac:dyDescent="0.25">
      <c r="A78" s="120"/>
      <c r="B78" s="2"/>
      <c r="C78" s="2"/>
      <c r="D78" s="2"/>
      <c r="E78" s="2"/>
      <c r="F78" s="2"/>
      <c r="G78" s="2"/>
      <c r="H78" s="2"/>
      <c r="I78" s="2"/>
      <c r="J78" s="2"/>
      <c r="K78" s="2"/>
      <c r="L78" s="2"/>
      <c r="M78" s="2"/>
      <c r="N78" s="2"/>
      <c r="O78" s="2"/>
      <c r="P78" s="2"/>
      <c r="Q78" s="2"/>
      <c r="R78" s="2"/>
      <c r="S78" s="121"/>
      <c r="T78" s="2"/>
      <c r="U78" s="2"/>
      <c r="V78" s="2"/>
      <c r="W78" s="2"/>
      <c r="X78" s="2"/>
      <c r="Y78" s="2"/>
      <c r="Z78" s="2"/>
      <c r="AA78" s="2"/>
      <c r="AB78" s="2" t="s">
        <v>66</v>
      </c>
      <c r="AC78" s="118">
        <f>(AC80/AC79)</f>
        <v>3.4076650606060604E-2</v>
      </c>
      <c r="AD78" s="118">
        <f>(AD80/AD79)</f>
        <v>9.3290934678798607E-2</v>
      </c>
      <c r="AE78" s="119">
        <f>IF(StationType=1,'Bicycle Parking Invest. Input'!C23/100,'Bicycle Parking Invest. Input'!C25/100)</f>
        <v>7.6507980993202954E-2</v>
      </c>
      <c r="AF78" s="118">
        <f>IF(StationType=1,VLOOKUP('Bicycle Parking Invest. Input'!C12,Database!$A$2:$AP$44,COLUMN(AP1),FALSE),VLOOKUP('Bicycle Parking Invest. Input'!C13,Database!$A$46:$AP$50,COLUMN(AP1),FALSE))</f>
        <v>0.14254704745083363</v>
      </c>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row>
    <row r="79" spans="1:79" x14ac:dyDescent="0.25">
      <c r="A79" s="124"/>
      <c r="B79" s="13"/>
      <c r="C79" s="13"/>
      <c r="D79" s="13"/>
      <c r="E79" s="13"/>
      <c r="F79" s="13"/>
      <c r="G79" s="13"/>
      <c r="H79" s="13"/>
      <c r="I79" s="13"/>
      <c r="J79" s="13"/>
      <c r="K79" s="13"/>
      <c r="L79" s="13"/>
      <c r="M79" s="13"/>
      <c r="N79" s="13"/>
      <c r="O79" s="13"/>
      <c r="P79" s="13"/>
      <c r="Q79" s="13"/>
      <c r="R79" s="13"/>
      <c r="S79" s="121"/>
      <c r="T79" s="2"/>
      <c r="U79" s="2"/>
      <c r="V79" s="2"/>
      <c r="W79" s="2"/>
      <c r="X79" s="2"/>
      <c r="Y79" s="2"/>
      <c r="Z79" s="2"/>
      <c r="AA79" s="2"/>
      <c r="AB79" s="2" t="s">
        <v>67</v>
      </c>
      <c r="AC79" s="10">
        <f>IF(StationType=1,VLOOKUP('Bicycle Parking Invest. Input'!C12,Database!$A$2:$O$44,14,FALSE),'Bicycle Parking Invest. Input'!C26)</f>
        <v>6600</v>
      </c>
      <c r="AD79" s="10">
        <f>AC79+(AD80-AC80)</f>
        <v>7031.0249999999996</v>
      </c>
      <c r="AE79" s="10">
        <f>ROUND(AE80/AE78,0)</f>
        <v>6901</v>
      </c>
      <c r="AF79" s="10">
        <f>AC79+(AF80-AC80)</f>
        <v>7435.0941060000005</v>
      </c>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row>
    <row r="80" spans="1:79" ht="33.75" x14ac:dyDescent="0.25">
      <c r="A80" s="124"/>
      <c r="B80" s="13"/>
      <c r="C80" s="13"/>
      <c r="D80" s="13"/>
      <c r="E80" s="13"/>
      <c r="F80" s="13"/>
      <c r="G80" s="13"/>
      <c r="H80" s="13"/>
      <c r="I80" s="13"/>
      <c r="J80" s="13"/>
      <c r="K80" s="13"/>
      <c r="L80" s="13"/>
      <c r="M80" s="13"/>
      <c r="N80" s="13"/>
      <c r="O80" s="13"/>
      <c r="P80" s="13"/>
      <c r="Q80" s="13"/>
      <c r="R80" s="13"/>
      <c r="S80" s="121"/>
      <c r="T80" s="2"/>
      <c r="U80" s="2"/>
      <c r="V80" s="2"/>
      <c r="W80" s="2"/>
      <c r="X80" s="2"/>
      <c r="Y80" s="2"/>
      <c r="Z80" s="2"/>
      <c r="AA80" s="2"/>
      <c r="AB80" s="2" t="s">
        <v>68</v>
      </c>
      <c r="AC80" s="10">
        <f>Calculations!H12</f>
        <v>224.90589399999999</v>
      </c>
      <c r="AD80" s="10">
        <f>Calculations!H12+Calculations!N12</f>
        <v>655.93089399999997</v>
      </c>
      <c r="AE80" s="10">
        <f>ROUND($AC$80+(AE78*$AC$79-$AC$80)/(1-$AE$78),0)</f>
        <v>528</v>
      </c>
      <c r="AF80" s="10">
        <f>ROUND($AC$80+(AF78*$AC$79-$AC$80)/(1-$AF$78),0)</f>
        <v>1060</v>
      </c>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row>
    <row r="81" spans="1:79" x14ac:dyDescent="0.25">
      <c r="A81" s="124"/>
      <c r="B81" s="13"/>
      <c r="C81" s="13"/>
      <c r="D81" s="13"/>
      <c r="E81" s="13"/>
      <c r="F81" s="13"/>
      <c r="G81" s="13"/>
      <c r="H81" s="13"/>
      <c r="I81" s="13"/>
      <c r="J81" s="13"/>
      <c r="K81" s="13"/>
      <c r="L81" s="13"/>
      <c r="M81" s="13"/>
      <c r="N81" s="13"/>
      <c r="O81" s="13"/>
      <c r="P81" s="13"/>
      <c r="Q81" s="13"/>
      <c r="R81" s="13"/>
      <c r="S81" s="121"/>
      <c r="T81" s="2"/>
      <c r="U81" s="2"/>
      <c r="V81" s="2"/>
      <c r="W81" s="2"/>
      <c r="X81" s="2"/>
      <c r="Y81" s="2"/>
      <c r="Z81" s="2"/>
      <c r="AA81" s="2"/>
      <c r="AB81" s="2"/>
      <c r="AC81" s="2"/>
      <c r="AD81" s="10"/>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row>
    <row r="82" spans="1:79" x14ac:dyDescent="0.25">
      <c r="A82" s="124"/>
      <c r="B82" s="13"/>
      <c r="C82" s="13"/>
      <c r="D82" s="13"/>
      <c r="E82" s="13"/>
      <c r="F82" s="13"/>
      <c r="G82" s="13"/>
      <c r="H82" s="13"/>
      <c r="I82" s="13"/>
      <c r="J82" s="13"/>
      <c r="K82" s="13"/>
      <c r="L82" s="13"/>
      <c r="M82" s="13"/>
      <c r="N82" s="13"/>
      <c r="O82" s="13"/>
      <c r="P82" s="13"/>
      <c r="Q82" s="13"/>
      <c r="R82" s="13"/>
      <c r="S82" s="121"/>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row>
    <row r="83" spans="1:79" x14ac:dyDescent="0.25">
      <c r="A83" s="124"/>
      <c r="B83" s="13"/>
      <c r="C83" s="13"/>
      <c r="D83" s="13"/>
      <c r="E83" s="13"/>
      <c r="F83" s="13"/>
      <c r="G83" s="13"/>
      <c r="H83" s="13"/>
      <c r="I83" s="13"/>
      <c r="J83" s="13"/>
      <c r="K83" s="13"/>
      <c r="L83" s="13"/>
      <c r="M83" s="13"/>
      <c r="N83" s="13"/>
      <c r="O83" s="13"/>
      <c r="P83" s="13"/>
      <c r="Q83" s="13"/>
      <c r="R83" s="13"/>
      <c r="S83" s="121"/>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row>
    <row r="84" spans="1:79" x14ac:dyDescent="0.25">
      <c r="A84" s="124"/>
      <c r="B84" s="13"/>
      <c r="C84" s="13"/>
      <c r="D84" s="13"/>
      <c r="E84" s="13"/>
      <c r="F84" s="13"/>
      <c r="G84" s="13"/>
      <c r="H84" s="13"/>
      <c r="I84" s="13"/>
      <c r="J84" s="13"/>
      <c r="K84" s="13"/>
      <c r="L84" s="13"/>
      <c r="M84" s="13"/>
      <c r="N84" s="13"/>
      <c r="O84" s="13"/>
      <c r="P84" s="13"/>
      <c r="Q84" s="13"/>
      <c r="R84" s="13"/>
      <c r="S84" s="121"/>
      <c r="T84" s="2"/>
      <c r="U84" s="2"/>
      <c r="V84" s="2"/>
      <c r="W84" s="2"/>
      <c r="X84" s="2"/>
      <c r="Y84" s="2"/>
      <c r="Z84" s="2"/>
      <c r="AA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row>
    <row r="85" spans="1:79" x14ac:dyDescent="0.25">
      <c r="A85" s="120"/>
      <c r="B85" s="13"/>
      <c r="C85" s="13"/>
      <c r="D85" s="13"/>
      <c r="E85" s="13"/>
      <c r="F85" s="13"/>
      <c r="G85" s="13"/>
      <c r="H85" s="2"/>
      <c r="I85" s="2"/>
      <c r="J85" s="2"/>
      <c r="K85" s="2"/>
      <c r="L85" s="2"/>
      <c r="M85" s="2"/>
      <c r="N85" s="2"/>
      <c r="O85" s="2"/>
      <c r="P85" s="2"/>
      <c r="Q85" s="2"/>
      <c r="R85" s="2"/>
      <c r="S85" s="121"/>
      <c r="T85" s="2"/>
      <c r="U85" s="2"/>
      <c r="V85" s="2"/>
      <c r="W85" s="2"/>
      <c r="X85" s="2"/>
      <c r="Y85" s="2"/>
      <c r="Z85" s="2"/>
      <c r="AA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row>
    <row r="86" spans="1:79" x14ac:dyDescent="0.25">
      <c r="A86" s="120"/>
      <c r="B86" s="13"/>
      <c r="C86" s="13"/>
      <c r="D86" s="13"/>
      <c r="E86" s="13"/>
      <c r="F86" s="13"/>
      <c r="G86" s="13"/>
      <c r="H86" s="2"/>
      <c r="I86" s="2"/>
      <c r="J86" s="2"/>
      <c r="K86" s="2"/>
      <c r="L86" s="2"/>
      <c r="M86" s="2"/>
      <c r="N86" s="2"/>
      <c r="O86" s="2"/>
      <c r="P86" s="2"/>
      <c r="Q86" s="2"/>
      <c r="R86" s="2"/>
      <c r="S86" s="121"/>
      <c r="T86" s="2"/>
      <c r="U86" s="2"/>
      <c r="V86" s="2"/>
      <c r="W86" s="2"/>
      <c r="X86" s="2"/>
      <c r="Y86" s="2"/>
      <c r="Z86" s="2"/>
      <c r="AA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row>
    <row r="87" spans="1:79" x14ac:dyDescent="0.25">
      <c r="A87" s="120"/>
      <c r="B87" s="13"/>
      <c r="C87" s="13"/>
      <c r="D87" s="13"/>
      <c r="E87" s="13"/>
      <c r="F87" s="13"/>
      <c r="G87" s="13"/>
      <c r="H87" s="2"/>
      <c r="I87" s="2"/>
      <c r="J87" s="2"/>
      <c r="K87" s="2"/>
      <c r="L87" s="2"/>
      <c r="M87" s="2"/>
      <c r="N87" s="2"/>
      <c r="O87" s="2"/>
      <c r="P87" s="2"/>
      <c r="Q87" s="2"/>
      <c r="R87" s="2"/>
      <c r="S87" s="121"/>
      <c r="T87" s="2"/>
      <c r="U87" s="2"/>
      <c r="V87" s="2"/>
      <c r="W87" s="2"/>
      <c r="X87" s="2"/>
      <c r="Y87" s="2"/>
      <c r="Z87" s="2"/>
      <c r="AA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row>
    <row r="88" spans="1:79" x14ac:dyDescent="0.25">
      <c r="A88" s="120"/>
      <c r="B88" s="13"/>
      <c r="C88" s="13"/>
      <c r="D88" s="13"/>
      <c r="E88" s="13"/>
      <c r="F88" s="13"/>
      <c r="G88" s="13"/>
      <c r="H88" s="2"/>
      <c r="I88" s="2"/>
      <c r="J88" s="2"/>
      <c r="K88" s="2"/>
      <c r="L88" s="2"/>
      <c r="M88" s="2"/>
      <c r="N88" s="2"/>
      <c r="O88" s="2"/>
      <c r="P88" s="2"/>
      <c r="Q88" s="2"/>
      <c r="R88" s="2"/>
      <c r="S88" s="121"/>
      <c r="T88" s="2"/>
      <c r="U88" s="2"/>
      <c r="V88" s="2"/>
      <c r="W88" s="2"/>
      <c r="X88" s="2"/>
      <c r="Y88" s="2"/>
      <c r="Z88" s="2"/>
      <c r="AA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row>
    <row r="89" spans="1:79" x14ac:dyDescent="0.25">
      <c r="A89" s="120"/>
      <c r="B89" s="13"/>
      <c r="C89" s="13"/>
      <c r="D89" s="13"/>
      <c r="E89" s="13"/>
      <c r="F89" s="13"/>
      <c r="G89" s="13"/>
      <c r="H89" s="2"/>
      <c r="I89" s="2"/>
      <c r="J89" s="2"/>
      <c r="K89" s="2"/>
      <c r="L89" s="2"/>
      <c r="M89" s="2"/>
      <c r="N89" s="2"/>
      <c r="O89" s="2"/>
      <c r="P89" s="2"/>
      <c r="Q89" s="2"/>
      <c r="R89" s="2"/>
      <c r="S89" s="121"/>
      <c r="T89" s="2"/>
      <c r="U89" s="2"/>
      <c r="V89" s="2"/>
      <c r="W89" s="2"/>
      <c r="X89" s="2"/>
      <c r="Y89" s="2"/>
      <c r="Z89" s="2"/>
      <c r="AA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row>
    <row r="90" spans="1:79" x14ac:dyDescent="0.25">
      <c r="A90" s="120"/>
      <c r="B90" s="13"/>
      <c r="C90" s="13"/>
      <c r="D90" s="13"/>
      <c r="E90" s="13"/>
      <c r="F90" s="13"/>
      <c r="G90" s="13"/>
      <c r="H90" s="2"/>
      <c r="I90" s="2"/>
      <c r="J90" s="2"/>
      <c r="K90" s="2"/>
      <c r="L90" s="2"/>
      <c r="M90" s="2"/>
      <c r="N90" s="2"/>
      <c r="O90" s="2"/>
      <c r="P90" s="2"/>
      <c r="Q90" s="2"/>
      <c r="R90" s="2"/>
      <c r="S90" s="121"/>
      <c r="T90" s="2"/>
      <c r="U90" s="2"/>
      <c r="V90" s="2"/>
      <c r="W90" s="2"/>
      <c r="X90" s="2"/>
      <c r="Y90" s="2"/>
      <c r="Z90" s="2"/>
      <c r="AA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row>
    <row r="91" spans="1:79" x14ac:dyDescent="0.25">
      <c r="A91" s="120"/>
      <c r="B91" s="13"/>
      <c r="C91" s="13"/>
      <c r="D91" s="13"/>
      <c r="E91" s="13"/>
      <c r="F91" s="13"/>
      <c r="G91" s="13"/>
      <c r="H91" s="2"/>
      <c r="I91" s="2"/>
      <c r="J91" s="2"/>
      <c r="K91" s="2"/>
      <c r="L91" s="2"/>
      <c r="M91" s="2"/>
      <c r="N91" s="2"/>
      <c r="O91" s="2"/>
      <c r="P91" s="2"/>
      <c r="Q91" s="2"/>
      <c r="R91" s="2"/>
      <c r="S91" s="121"/>
      <c r="T91" s="2"/>
      <c r="U91" s="2"/>
      <c r="V91" s="2"/>
      <c r="W91" s="2"/>
      <c r="X91" s="2"/>
      <c r="Y91" s="2"/>
      <c r="Z91" s="2"/>
      <c r="AA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row>
    <row r="92" spans="1:79" x14ac:dyDescent="0.25">
      <c r="A92" s="120"/>
      <c r="B92" s="13"/>
      <c r="C92" s="13"/>
      <c r="D92" s="13"/>
      <c r="E92" s="13"/>
      <c r="F92" s="13"/>
      <c r="G92" s="13"/>
      <c r="H92" s="2"/>
      <c r="I92" s="2"/>
      <c r="J92" s="2"/>
      <c r="K92" s="2"/>
      <c r="L92" s="2"/>
      <c r="M92" s="2"/>
      <c r="N92" s="2"/>
      <c r="O92" s="2"/>
      <c r="P92" s="2"/>
      <c r="Q92" s="2"/>
      <c r="R92" s="2"/>
      <c r="S92" s="121"/>
      <c r="T92" s="2"/>
      <c r="U92" s="2"/>
      <c r="V92" s="2"/>
      <c r="W92" s="2"/>
      <c r="X92" s="2"/>
      <c r="Y92" s="2"/>
      <c r="Z92" s="2"/>
      <c r="AA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row>
    <row r="93" spans="1:79" ht="8.25" customHeight="1" x14ac:dyDescent="0.25">
      <c r="A93" s="120"/>
      <c r="B93" s="13"/>
      <c r="C93" s="13"/>
      <c r="D93" s="13"/>
      <c r="E93" s="13"/>
      <c r="F93" s="13"/>
      <c r="G93" s="13"/>
      <c r="H93" s="2"/>
      <c r="I93" s="2"/>
      <c r="J93" s="2"/>
      <c r="K93" s="2"/>
      <c r="L93" s="2"/>
      <c r="M93" s="2"/>
      <c r="N93" s="2"/>
      <c r="O93" s="2"/>
      <c r="P93" s="2"/>
      <c r="Q93" s="2"/>
      <c r="R93" s="2"/>
      <c r="S93" s="121"/>
      <c r="T93" s="2"/>
      <c r="U93" s="2"/>
      <c r="V93" s="2"/>
      <c r="W93" s="2"/>
      <c r="X93" s="2"/>
      <c r="Y93" s="2"/>
      <c r="Z93" s="2"/>
      <c r="AA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row>
    <row r="94" spans="1:79" ht="8.25" customHeight="1" x14ac:dyDescent="0.25">
      <c r="A94" s="120"/>
      <c r="B94" s="13"/>
      <c r="C94" s="13"/>
      <c r="D94" s="13"/>
      <c r="E94" s="13"/>
      <c r="F94" s="13"/>
      <c r="G94" s="13"/>
      <c r="H94" s="2"/>
      <c r="I94" s="2"/>
      <c r="J94" s="2"/>
      <c r="K94" s="2"/>
      <c r="L94" s="2"/>
      <c r="M94" s="2"/>
      <c r="N94" s="2"/>
      <c r="O94" s="2"/>
      <c r="P94" s="2"/>
      <c r="Q94" s="2"/>
      <c r="R94" s="2"/>
      <c r="S94" s="121"/>
      <c r="T94" s="2"/>
      <c r="U94" s="2"/>
      <c r="V94" s="2"/>
      <c r="W94" s="2"/>
      <c r="X94" s="2"/>
      <c r="Y94" s="2"/>
      <c r="Z94" s="2"/>
      <c r="AA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row>
    <row r="95" spans="1:79" x14ac:dyDescent="0.25">
      <c r="A95" s="120"/>
      <c r="B95" s="13"/>
      <c r="C95" s="13"/>
      <c r="D95" s="13"/>
      <c r="E95" s="13"/>
      <c r="F95" s="13"/>
      <c r="G95" s="13"/>
      <c r="H95" s="2"/>
      <c r="I95" s="2"/>
      <c r="J95" s="2"/>
      <c r="K95" s="2"/>
      <c r="L95" s="2"/>
      <c r="M95" s="2"/>
      <c r="N95" s="2"/>
      <c r="O95" s="2"/>
      <c r="P95" s="2"/>
      <c r="Q95" s="2"/>
      <c r="R95" s="2"/>
      <c r="S95" s="121"/>
      <c r="T95" s="2"/>
      <c r="U95" s="2"/>
      <c r="V95" s="2"/>
      <c r="W95" s="2"/>
      <c r="X95" s="2"/>
      <c r="Y95" s="2"/>
      <c r="Z95" s="2"/>
      <c r="AA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row>
    <row r="96" spans="1:79" x14ac:dyDescent="0.25">
      <c r="A96" s="120"/>
      <c r="B96" s="13"/>
      <c r="C96" s="13"/>
      <c r="D96" s="13"/>
      <c r="E96" s="13"/>
      <c r="F96" s="13"/>
      <c r="G96" s="13"/>
      <c r="H96" s="2"/>
      <c r="I96" s="2"/>
      <c r="J96" s="2"/>
      <c r="K96" s="2"/>
      <c r="L96" s="2"/>
      <c r="M96" s="2"/>
      <c r="N96" s="2"/>
      <c r="O96" s="2"/>
      <c r="P96" s="2"/>
      <c r="Q96" s="2"/>
      <c r="R96" s="2"/>
      <c r="S96" s="121"/>
      <c r="T96" s="2"/>
      <c r="U96" s="2"/>
      <c r="V96" s="2"/>
      <c r="W96" s="2"/>
      <c r="X96" s="2"/>
      <c r="Y96" s="2"/>
      <c r="Z96" s="2"/>
      <c r="AA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row>
    <row r="97" spans="1:79" s="97" customFormat="1" x14ac:dyDescent="0.25">
      <c r="A97" s="120"/>
      <c r="B97" s="13"/>
      <c r="C97" s="13"/>
      <c r="D97" s="13"/>
      <c r="E97" s="13"/>
      <c r="F97" s="13"/>
      <c r="G97" s="13"/>
      <c r="H97" s="2"/>
      <c r="I97" s="2"/>
      <c r="J97" s="2"/>
      <c r="K97" s="2"/>
      <c r="L97" s="2"/>
      <c r="M97" s="2"/>
      <c r="N97" s="2"/>
      <c r="O97" s="2"/>
      <c r="P97" s="2"/>
      <c r="Q97" s="2"/>
      <c r="R97" s="2"/>
      <c r="S97" s="121"/>
      <c r="T97" s="2"/>
      <c r="U97" s="2"/>
      <c r="V97" s="2"/>
      <c r="W97" s="2"/>
      <c r="X97" s="2"/>
      <c r="Y97" s="2"/>
      <c r="Z97" s="2"/>
      <c r="AA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row>
    <row r="98" spans="1:79" s="97" customFormat="1" x14ac:dyDescent="0.25">
      <c r="A98" s="120"/>
      <c r="B98" s="13"/>
      <c r="C98" s="13"/>
      <c r="D98" s="13"/>
      <c r="E98" s="13"/>
      <c r="F98" s="13"/>
      <c r="G98" s="13"/>
      <c r="H98" s="2"/>
      <c r="I98" s="2"/>
      <c r="J98" s="2"/>
      <c r="K98" s="2"/>
      <c r="L98" s="2"/>
      <c r="M98" s="2"/>
      <c r="N98" s="2"/>
      <c r="O98" s="2"/>
      <c r="P98" s="2"/>
      <c r="Q98" s="2"/>
      <c r="R98" s="2"/>
      <c r="S98" s="121"/>
      <c r="T98" s="2"/>
      <c r="U98" s="2"/>
      <c r="V98" s="2"/>
      <c r="W98" s="2"/>
      <c r="X98" s="2"/>
      <c r="Y98" s="2"/>
      <c r="Z98" s="2"/>
      <c r="AA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row>
    <row r="99" spans="1:79" x14ac:dyDescent="0.25">
      <c r="A99" s="120"/>
      <c r="B99" s="2"/>
      <c r="C99" s="2"/>
      <c r="D99" s="2"/>
      <c r="E99" s="2"/>
      <c r="F99" s="2"/>
      <c r="G99" s="2"/>
      <c r="H99" s="2"/>
      <c r="I99" s="2"/>
      <c r="J99" s="2"/>
      <c r="K99" s="2"/>
      <c r="L99" s="2"/>
      <c r="M99" s="2"/>
      <c r="N99" s="2"/>
      <c r="O99" s="2"/>
      <c r="P99" s="2"/>
      <c r="Q99" s="2"/>
      <c r="R99" s="2"/>
      <c r="S99" s="121"/>
      <c r="T99" s="2"/>
      <c r="U99" s="2"/>
      <c r="V99" s="2"/>
      <c r="W99" s="2"/>
      <c r="X99" s="2"/>
      <c r="Y99" s="2"/>
      <c r="Z99" s="2"/>
      <c r="AA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row>
    <row r="100" spans="1:79" x14ac:dyDescent="0.25">
      <c r="A100" s="120"/>
      <c r="B100" s="2"/>
      <c r="C100" s="2"/>
      <c r="D100" s="2"/>
      <c r="E100" s="2"/>
      <c r="F100" s="2"/>
      <c r="G100" s="2"/>
      <c r="H100" s="2"/>
      <c r="I100" s="2"/>
      <c r="J100" s="2"/>
      <c r="K100" s="2"/>
      <c r="L100" s="2"/>
      <c r="M100" s="2"/>
      <c r="N100" s="2"/>
      <c r="O100" s="2"/>
      <c r="P100" s="2"/>
      <c r="Q100" s="2"/>
      <c r="R100" s="2"/>
      <c r="S100" s="121"/>
      <c r="T100" s="2"/>
      <c r="U100" s="2"/>
      <c r="V100" s="2"/>
      <c r="W100" s="2"/>
      <c r="X100" s="2"/>
      <c r="Y100" s="2"/>
      <c r="Z100" s="2"/>
      <c r="AA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row>
    <row r="101" spans="1:79" x14ac:dyDescent="0.25">
      <c r="A101" s="120"/>
      <c r="B101" s="2"/>
      <c r="C101" s="2"/>
      <c r="D101" s="2"/>
      <c r="E101" s="2"/>
      <c r="F101" s="2"/>
      <c r="G101" s="2"/>
      <c r="H101" s="2"/>
      <c r="I101" s="2"/>
      <c r="J101" s="2"/>
      <c r="K101" s="2"/>
      <c r="L101" s="2"/>
      <c r="M101" s="2"/>
      <c r="N101" s="2"/>
      <c r="O101" s="2"/>
      <c r="P101" s="2"/>
      <c r="Q101" s="2"/>
      <c r="R101" s="2"/>
      <c r="S101" s="121"/>
      <c r="T101" s="2"/>
      <c r="U101" s="2"/>
      <c r="V101" s="2"/>
      <c r="W101" s="2"/>
      <c r="X101" s="2"/>
      <c r="Y101" s="2"/>
      <c r="Z101" s="2"/>
      <c r="AA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row>
    <row r="102" spans="1:79" x14ac:dyDescent="0.25">
      <c r="A102" s="120"/>
      <c r="B102" s="2"/>
      <c r="C102" s="2"/>
      <c r="D102" s="2"/>
      <c r="E102" s="2"/>
      <c r="F102" s="2"/>
      <c r="G102" s="2"/>
      <c r="H102" s="2"/>
      <c r="I102" s="2"/>
      <c r="J102" s="2"/>
      <c r="K102" s="2"/>
      <c r="L102" s="2"/>
      <c r="M102" s="2"/>
      <c r="N102" s="2"/>
      <c r="O102" s="2"/>
      <c r="P102" s="2"/>
      <c r="Q102" s="2"/>
      <c r="R102" s="2"/>
      <c r="S102" s="121"/>
      <c r="T102" s="2"/>
      <c r="U102" s="2"/>
      <c r="V102" s="2"/>
      <c r="W102" s="2"/>
      <c r="X102" s="2"/>
      <c r="Y102" s="2"/>
      <c r="Z102" s="2"/>
      <c r="AA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row>
    <row r="103" spans="1:79" x14ac:dyDescent="0.25">
      <c r="A103" s="120"/>
      <c r="B103" s="2"/>
      <c r="C103" s="2"/>
      <c r="D103" s="2"/>
      <c r="E103" s="2"/>
      <c r="F103" s="2"/>
      <c r="G103" s="2"/>
      <c r="H103" s="2"/>
      <c r="I103" s="2"/>
      <c r="J103" s="2"/>
      <c r="K103" s="2"/>
      <c r="L103" s="2"/>
      <c r="M103" s="2"/>
      <c r="N103" s="2"/>
      <c r="O103" s="2"/>
      <c r="P103" s="2"/>
      <c r="Q103" s="2"/>
      <c r="R103" s="2"/>
      <c r="S103" s="121"/>
      <c r="T103" s="2"/>
      <c r="U103" s="2"/>
      <c r="V103" s="2"/>
      <c r="W103" s="2"/>
      <c r="X103" s="2"/>
      <c r="Y103" s="2"/>
      <c r="Z103" s="2"/>
      <c r="AA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row>
    <row r="104" spans="1:79" x14ac:dyDescent="0.25">
      <c r="A104" s="120"/>
      <c r="B104" s="2"/>
      <c r="C104" s="2"/>
      <c r="D104" s="2"/>
      <c r="E104" s="2"/>
      <c r="F104" s="2"/>
      <c r="G104" s="2"/>
      <c r="H104" s="2"/>
      <c r="I104" s="2"/>
      <c r="J104" s="2"/>
      <c r="K104" s="2"/>
      <c r="L104" s="2"/>
      <c r="M104" s="2"/>
      <c r="N104" s="2"/>
      <c r="O104" s="2"/>
      <c r="P104" s="2"/>
      <c r="Q104" s="2"/>
      <c r="R104" s="2"/>
      <c r="S104" s="121"/>
      <c r="T104" s="2"/>
      <c r="U104" s="2"/>
      <c r="V104" s="2"/>
      <c r="W104" s="2"/>
      <c r="X104" s="2"/>
      <c r="Y104" s="2"/>
      <c r="Z104" s="2"/>
      <c r="AA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row>
    <row r="105" spans="1:79" ht="15.75" customHeight="1" x14ac:dyDescent="0.25">
      <c r="A105" s="120"/>
      <c r="B105" s="2"/>
      <c r="C105" s="2"/>
      <c r="D105" s="2"/>
      <c r="E105" s="2"/>
      <c r="F105" s="2"/>
      <c r="G105" s="2"/>
      <c r="H105" s="2"/>
      <c r="I105" s="2"/>
      <c r="J105" s="2"/>
      <c r="K105" s="2"/>
      <c r="L105" s="2"/>
      <c r="M105" s="2"/>
      <c r="N105" s="2"/>
      <c r="O105" s="2"/>
      <c r="P105" s="2"/>
      <c r="Q105" s="2"/>
      <c r="R105" s="2"/>
      <c r="S105" s="121"/>
      <c r="T105" s="2"/>
      <c r="U105" s="2"/>
      <c r="V105" s="2"/>
      <c r="W105" s="2"/>
      <c r="X105" s="2"/>
      <c r="Y105" s="2"/>
      <c r="Z105" s="2"/>
      <c r="AA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row>
    <row r="106" spans="1:79" x14ac:dyDescent="0.25">
      <c r="A106" s="120"/>
      <c r="B106" s="2"/>
      <c r="C106" s="2"/>
      <c r="D106" s="2"/>
      <c r="E106" s="2"/>
      <c r="F106" s="2"/>
      <c r="G106" s="2"/>
      <c r="H106" s="2"/>
      <c r="I106" s="2"/>
      <c r="J106" s="2"/>
      <c r="K106" s="2"/>
      <c r="L106" s="2"/>
      <c r="M106" s="2"/>
      <c r="N106" s="2"/>
      <c r="O106" s="2"/>
      <c r="P106" s="2"/>
      <c r="Q106" s="2"/>
      <c r="R106" s="2"/>
      <c r="S106" s="121"/>
      <c r="T106" s="2"/>
      <c r="U106" s="2"/>
      <c r="V106" s="2"/>
      <c r="W106" s="2"/>
      <c r="X106" s="2"/>
      <c r="Y106" s="2"/>
      <c r="Z106" s="2"/>
      <c r="AA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row>
    <row r="107" spans="1:79" x14ac:dyDescent="0.25">
      <c r="A107" s="120"/>
      <c r="B107" s="2"/>
      <c r="C107" s="2"/>
      <c r="D107" s="2"/>
      <c r="E107" s="2"/>
      <c r="F107" s="2"/>
      <c r="G107" s="2"/>
      <c r="H107" s="2"/>
      <c r="I107" s="2"/>
      <c r="J107" s="2"/>
      <c r="K107" s="2"/>
      <c r="L107" s="2"/>
      <c r="M107" s="2"/>
      <c r="N107" s="2"/>
      <c r="O107" s="2"/>
      <c r="P107" s="2"/>
      <c r="Q107" s="2"/>
      <c r="R107" s="2"/>
      <c r="S107" s="121"/>
      <c r="T107" s="2"/>
      <c r="U107" s="2"/>
      <c r="V107" s="2"/>
      <c r="W107" s="2"/>
      <c r="X107" s="2"/>
      <c r="Y107" s="2"/>
      <c r="Z107" s="2"/>
      <c r="AA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row>
    <row r="108" spans="1:79" x14ac:dyDescent="0.25">
      <c r="A108" s="120"/>
      <c r="B108" s="2"/>
      <c r="C108" s="2"/>
      <c r="D108" s="2"/>
      <c r="E108" s="2"/>
      <c r="F108" s="2"/>
      <c r="G108" s="2"/>
      <c r="H108" s="2"/>
      <c r="I108" s="2"/>
      <c r="J108" s="2"/>
      <c r="K108" s="2"/>
      <c r="L108" s="2"/>
      <c r="M108" s="2"/>
      <c r="N108" s="2"/>
      <c r="O108" s="2"/>
      <c r="P108" s="2"/>
      <c r="Q108" s="2"/>
      <c r="R108" s="2"/>
      <c r="S108" s="121"/>
      <c r="T108" s="2"/>
      <c r="U108" s="2"/>
      <c r="V108" s="2"/>
      <c r="W108" s="2"/>
      <c r="X108" s="2"/>
      <c r="Y108" s="2"/>
      <c r="Z108" s="2"/>
      <c r="AA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row>
    <row r="109" spans="1:79" x14ac:dyDescent="0.25">
      <c r="A109" s="120"/>
      <c r="B109" s="2"/>
      <c r="C109" s="2"/>
      <c r="D109" s="2"/>
      <c r="E109" s="2"/>
      <c r="F109" s="2"/>
      <c r="G109" s="2"/>
      <c r="H109" s="2"/>
      <c r="I109" s="2"/>
      <c r="J109" s="2"/>
      <c r="K109" s="2"/>
      <c r="L109" s="2"/>
      <c r="M109" s="2"/>
      <c r="N109" s="2"/>
      <c r="O109" s="2"/>
      <c r="P109" s="2"/>
      <c r="Q109" s="2"/>
      <c r="R109" s="2"/>
      <c r="S109" s="121"/>
      <c r="T109" s="2"/>
      <c r="U109" s="2"/>
      <c r="V109" s="2"/>
      <c r="W109" s="2"/>
      <c r="X109" s="2"/>
      <c r="Y109" s="2"/>
      <c r="Z109" s="2"/>
      <c r="AA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row>
    <row r="110" spans="1:79" x14ac:dyDescent="0.25">
      <c r="A110" s="120"/>
      <c r="B110" s="2"/>
      <c r="C110" s="2"/>
      <c r="D110" s="2"/>
      <c r="E110" s="2"/>
      <c r="F110" s="2"/>
      <c r="G110" s="2"/>
      <c r="H110" s="2"/>
      <c r="I110" s="2"/>
      <c r="J110" s="2"/>
      <c r="K110" s="2"/>
      <c r="L110" s="2"/>
      <c r="M110" s="2"/>
      <c r="N110" s="2"/>
      <c r="O110" s="2"/>
      <c r="P110" s="2"/>
      <c r="Q110" s="2"/>
      <c r="R110" s="2"/>
      <c r="S110" s="121"/>
      <c r="T110" s="2"/>
      <c r="U110" s="2"/>
      <c r="V110" s="2"/>
      <c r="W110" s="2"/>
      <c r="X110" s="2"/>
      <c r="Y110" s="2"/>
      <c r="Z110" s="2"/>
      <c r="AA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row>
    <row r="111" spans="1:79" x14ac:dyDescent="0.25">
      <c r="A111" s="120"/>
      <c r="B111" s="2"/>
      <c r="C111" s="2"/>
      <c r="D111" s="2"/>
      <c r="E111" s="2"/>
      <c r="F111" s="2"/>
      <c r="G111" s="2"/>
      <c r="H111" s="2"/>
      <c r="I111" s="2"/>
      <c r="J111" s="2"/>
      <c r="K111" s="2"/>
      <c r="L111" s="2"/>
      <c r="M111" s="2"/>
      <c r="N111" s="2"/>
      <c r="O111" s="2"/>
      <c r="P111" s="2"/>
      <c r="Q111" s="2"/>
      <c r="R111" s="2"/>
      <c r="S111" s="121"/>
      <c r="T111" s="2"/>
      <c r="U111" s="2"/>
      <c r="V111" s="2"/>
      <c r="W111" s="2"/>
      <c r="X111" s="2"/>
      <c r="Y111" s="2"/>
      <c r="Z111" s="2"/>
      <c r="AA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row>
    <row r="112" spans="1:79" x14ac:dyDescent="0.25">
      <c r="A112" s="120"/>
      <c r="B112" s="2"/>
      <c r="C112" s="2"/>
      <c r="D112" s="2"/>
      <c r="E112" s="2"/>
      <c r="F112" s="2"/>
      <c r="G112" s="2"/>
      <c r="H112" s="2"/>
      <c r="I112" s="2"/>
      <c r="J112" s="2"/>
      <c r="K112" s="2"/>
      <c r="L112" s="2"/>
      <c r="M112" s="2"/>
      <c r="N112" s="2"/>
      <c r="O112" s="2"/>
      <c r="P112" s="2"/>
      <c r="Q112" s="2"/>
      <c r="R112" s="2"/>
      <c r="S112" s="121"/>
      <c r="T112" s="2"/>
      <c r="U112" s="2"/>
      <c r="V112" s="2"/>
      <c r="W112" s="2"/>
      <c r="X112" s="2"/>
      <c r="Y112" s="2"/>
      <c r="Z112" s="2"/>
      <c r="AA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row>
    <row r="113" spans="1:79" x14ac:dyDescent="0.25">
      <c r="A113" s="120"/>
      <c r="B113" s="2"/>
      <c r="C113" s="2"/>
      <c r="D113" s="2"/>
      <c r="E113" s="2"/>
      <c r="F113" s="2"/>
      <c r="G113" s="2"/>
      <c r="H113" s="2"/>
      <c r="I113" s="2"/>
      <c r="J113" s="2"/>
      <c r="K113" s="2"/>
      <c r="L113" s="2"/>
      <c r="M113" s="2"/>
      <c r="N113" s="2"/>
      <c r="O113" s="2"/>
      <c r="P113" s="2"/>
      <c r="Q113" s="2"/>
      <c r="R113" s="2"/>
      <c r="S113" s="121"/>
      <c r="T113" s="2"/>
      <c r="U113" s="2"/>
      <c r="V113" s="2"/>
      <c r="W113" s="2"/>
      <c r="X113" s="2"/>
      <c r="Y113" s="2"/>
      <c r="Z113" s="2"/>
      <c r="AA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row>
    <row r="114" spans="1:79" x14ac:dyDescent="0.25">
      <c r="A114" s="120"/>
      <c r="B114" s="2"/>
      <c r="C114" s="2"/>
      <c r="D114" s="2"/>
      <c r="E114" s="2"/>
      <c r="F114" s="2"/>
      <c r="G114" s="2"/>
      <c r="H114" s="2"/>
      <c r="I114" s="2"/>
      <c r="J114" s="2"/>
      <c r="K114" s="2"/>
      <c r="L114" s="2"/>
      <c r="M114" s="2"/>
      <c r="N114" s="2"/>
      <c r="O114" s="2"/>
      <c r="P114" s="2"/>
      <c r="Q114" s="2"/>
      <c r="R114" s="2"/>
      <c r="S114" s="121"/>
      <c r="T114" s="2"/>
      <c r="U114" s="2"/>
      <c r="V114" s="2"/>
      <c r="W114" s="2"/>
      <c r="X114" s="2"/>
      <c r="Y114" s="2"/>
      <c r="Z114" s="2"/>
      <c r="AA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row>
    <row r="115" spans="1:79" x14ac:dyDescent="0.25">
      <c r="A115" s="120"/>
      <c r="B115" s="2"/>
      <c r="C115" s="2"/>
      <c r="D115" s="2"/>
      <c r="E115" s="2"/>
      <c r="F115" s="2"/>
      <c r="G115" s="2"/>
      <c r="H115" s="2"/>
      <c r="I115" s="2"/>
      <c r="J115" s="2"/>
      <c r="K115" s="2"/>
      <c r="L115" s="2"/>
      <c r="M115" s="2"/>
      <c r="N115" s="2"/>
      <c r="O115" s="2"/>
      <c r="P115" s="2"/>
      <c r="Q115" s="2"/>
      <c r="R115" s="2"/>
      <c r="S115" s="121"/>
      <c r="T115" s="2"/>
      <c r="U115" s="2"/>
      <c r="V115" s="2"/>
      <c r="W115" s="2"/>
      <c r="X115" s="2"/>
      <c r="Y115" s="2"/>
      <c r="Z115" s="2"/>
      <c r="AA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row>
    <row r="116" spans="1:79" ht="15.75" customHeight="1" x14ac:dyDescent="0.25">
      <c r="A116" s="120"/>
      <c r="B116" s="2"/>
      <c r="C116" s="2"/>
      <c r="D116" s="2"/>
      <c r="E116" s="2"/>
      <c r="F116" s="2"/>
      <c r="G116" s="2"/>
      <c r="H116" s="2"/>
      <c r="I116" s="2"/>
      <c r="J116" s="2"/>
      <c r="K116" s="2"/>
      <c r="L116" s="2"/>
      <c r="M116" s="2"/>
      <c r="N116" s="2"/>
      <c r="O116" s="2"/>
      <c r="P116" s="2"/>
      <c r="Q116" s="2"/>
      <c r="R116" s="2"/>
      <c r="S116" s="121"/>
      <c r="T116" s="2"/>
      <c r="U116" s="2"/>
      <c r="V116" s="2"/>
      <c r="W116" s="2"/>
      <c r="X116" s="2"/>
      <c r="Y116" s="2"/>
      <c r="Z116" s="2"/>
      <c r="AA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row>
    <row r="117" spans="1:79" x14ac:dyDescent="0.25">
      <c r="A117" s="120"/>
      <c r="B117" s="2"/>
      <c r="C117" s="2"/>
      <c r="D117" s="2"/>
      <c r="E117" s="2"/>
      <c r="F117" s="2"/>
      <c r="G117" s="2"/>
      <c r="H117" s="2"/>
      <c r="I117" s="2"/>
      <c r="J117" s="2"/>
      <c r="K117" s="2"/>
      <c r="L117" s="2"/>
      <c r="M117" s="2"/>
      <c r="N117" s="2"/>
      <c r="O117" s="2"/>
      <c r="P117" s="2"/>
      <c r="Q117" s="2"/>
      <c r="R117" s="2"/>
      <c r="S117" s="121"/>
      <c r="T117" s="2"/>
      <c r="U117" s="2"/>
      <c r="V117" s="2"/>
      <c r="W117" s="2"/>
      <c r="X117" s="2"/>
      <c r="Y117" s="2"/>
      <c r="Z117" s="2"/>
      <c r="AA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row>
    <row r="118" spans="1:79" x14ac:dyDescent="0.25">
      <c r="A118" s="120"/>
      <c r="B118" s="2"/>
      <c r="C118" s="2"/>
      <c r="D118" s="2"/>
      <c r="E118" s="2"/>
      <c r="F118" s="2"/>
      <c r="G118" s="2"/>
      <c r="H118" s="2"/>
      <c r="I118" s="2"/>
      <c r="J118" s="2"/>
      <c r="K118" s="2"/>
      <c r="L118" s="2"/>
      <c r="M118" s="2"/>
      <c r="N118" s="2"/>
      <c r="O118" s="2"/>
      <c r="P118" s="2"/>
      <c r="Q118" s="2"/>
      <c r="R118" s="2"/>
      <c r="S118" s="121"/>
      <c r="T118" s="2"/>
      <c r="U118" s="2"/>
      <c r="V118" s="2"/>
      <c r="W118" s="2"/>
      <c r="X118" s="2"/>
      <c r="Y118" s="2"/>
      <c r="Z118" s="2"/>
      <c r="AA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row>
    <row r="119" spans="1:79" x14ac:dyDescent="0.25">
      <c r="A119" s="120"/>
      <c r="B119" s="2"/>
      <c r="C119" s="2"/>
      <c r="D119" s="2"/>
      <c r="E119" s="2"/>
      <c r="F119" s="2"/>
      <c r="G119" s="2"/>
      <c r="H119" s="2"/>
      <c r="I119" s="2"/>
      <c r="J119" s="2"/>
      <c r="K119" s="2"/>
      <c r="L119" s="2"/>
      <c r="M119" s="2"/>
      <c r="N119" s="2"/>
      <c r="O119" s="2"/>
      <c r="P119" s="2"/>
      <c r="Q119" s="2"/>
      <c r="R119" s="2"/>
      <c r="S119" s="121"/>
      <c r="T119" s="2"/>
      <c r="U119" s="2"/>
      <c r="V119" s="2"/>
      <c r="W119" s="2"/>
      <c r="X119" s="2"/>
      <c r="Y119" s="2"/>
      <c r="Z119" s="2"/>
      <c r="AA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row>
    <row r="120" spans="1:79" x14ac:dyDescent="0.25">
      <c r="A120" s="120"/>
      <c r="B120" s="2"/>
      <c r="C120" s="2"/>
      <c r="D120" s="2"/>
      <c r="E120" s="2"/>
      <c r="F120" s="2"/>
      <c r="G120" s="2"/>
      <c r="H120" s="2"/>
      <c r="I120" s="2"/>
      <c r="J120" s="2"/>
      <c r="K120" s="2"/>
      <c r="L120" s="2"/>
      <c r="M120" s="2"/>
      <c r="N120" s="2"/>
      <c r="O120" s="2"/>
      <c r="P120" s="2"/>
      <c r="Q120" s="2"/>
      <c r="R120" s="2"/>
      <c r="S120" s="121"/>
      <c r="T120" s="2"/>
      <c r="U120" s="2"/>
      <c r="V120" s="2"/>
      <c r="W120" s="2"/>
      <c r="X120" s="2"/>
      <c r="Y120" s="2"/>
      <c r="Z120" s="2"/>
      <c r="AA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row>
    <row r="121" spans="1:79" x14ac:dyDescent="0.25">
      <c r="A121" s="120"/>
      <c r="B121" s="2"/>
      <c r="C121" s="2"/>
      <c r="D121" s="2"/>
      <c r="E121" s="2"/>
      <c r="F121" s="2"/>
      <c r="G121" s="2"/>
      <c r="H121" s="2"/>
      <c r="I121" s="2"/>
      <c r="J121" s="2"/>
      <c r="K121" s="2"/>
      <c r="L121" s="2"/>
      <c r="M121" s="2"/>
      <c r="N121" s="2"/>
      <c r="O121" s="2"/>
      <c r="P121" s="2"/>
      <c r="Q121" s="2"/>
      <c r="R121" s="2"/>
      <c r="S121" s="121"/>
      <c r="T121" s="2"/>
      <c r="U121" s="2"/>
      <c r="V121" s="2"/>
      <c r="W121" s="2"/>
      <c r="X121" s="2"/>
      <c r="Y121" s="2"/>
      <c r="Z121" s="2"/>
      <c r="AA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row>
    <row r="122" spans="1:79" x14ac:dyDescent="0.25">
      <c r="A122" s="120"/>
      <c r="B122" s="2"/>
      <c r="C122" s="2"/>
      <c r="D122" s="2"/>
      <c r="E122" s="2"/>
      <c r="F122" s="2"/>
      <c r="G122" s="2"/>
      <c r="H122" s="2"/>
      <c r="I122" s="2"/>
      <c r="J122" s="2"/>
      <c r="K122" s="2"/>
      <c r="L122" s="2"/>
      <c r="M122" s="2"/>
      <c r="N122" s="2"/>
      <c r="O122" s="2"/>
      <c r="P122" s="2"/>
      <c r="Q122" s="2"/>
      <c r="R122" s="2"/>
      <c r="S122" s="121"/>
      <c r="T122" s="2"/>
      <c r="U122" s="2"/>
      <c r="V122" s="2"/>
      <c r="W122" s="2"/>
      <c r="X122" s="2"/>
      <c r="Y122" s="2"/>
      <c r="Z122" s="2"/>
      <c r="AA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row>
    <row r="123" spans="1:79" x14ac:dyDescent="0.25">
      <c r="A123" s="120"/>
      <c r="B123" s="2"/>
      <c r="C123" s="2"/>
      <c r="D123" s="2"/>
      <c r="E123" s="2"/>
      <c r="F123" s="2"/>
      <c r="G123" s="2"/>
      <c r="H123" s="2"/>
      <c r="I123" s="2"/>
      <c r="J123" s="2"/>
      <c r="K123" s="2"/>
      <c r="L123" s="2"/>
      <c r="M123" s="2"/>
      <c r="N123" s="2"/>
      <c r="O123" s="2"/>
      <c r="P123" s="2"/>
      <c r="Q123" s="2"/>
      <c r="R123" s="2"/>
      <c r="S123" s="121"/>
      <c r="T123" s="2"/>
      <c r="U123" s="2"/>
      <c r="V123" s="2"/>
      <c r="W123" s="2"/>
      <c r="X123" s="2"/>
      <c r="Y123" s="2"/>
      <c r="Z123" s="2"/>
      <c r="AA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row>
    <row r="124" spans="1:79" s="97" customFormat="1" x14ac:dyDescent="0.25">
      <c r="A124" s="120"/>
      <c r="B124" s="2"/>
      <c r="C124" s="2"/>
      <c r="D124" s="2"/>
      <c r="E124" s="2"/>
      <c r="F124" s="2"/>
      <c r="G124" s="2"/>
      <c r="H124" s="2"/>
      <c r="I124" s="2"/>
      <c r="J124" s="2"/>
      <c r="K124" s="2"/>
      <c r="L124" s="2"/>
      <c r="M124" s="2"/>
      <c r="N124" s="2"/>
      <c r="O124" s="2"/>
      <c r="P124" s="2"/>
      <c r="Q124" s="2"/>
      <c r="R124" s="2"/>
      <c r="S124" s="121"/>
      <c r="T124" s="2"/>
      <c r="U124" s="2"/>
      <c r="V124" s="2"/>
      <c r="W124" s="2"/>
      <c r="X124" s="2"/>
      <c r="Y124" s="2"/>
      <c r="Z124" s="2"/>
      <c r="AA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row>
    <row r="125" spans="1:79" s="97" customFormat="1" x14ac:dyDescent="0.25">
      <c r="A125" s="120"/>
      <c r="B125" s="2"/>
      <c r="C125" s="2"/>
      <c r="D125" s="2"/>
      <c r="E125" s="2"/>
      <c r="F125" s="2"/>
      <c r="G125" s="2"/>
      <c r="H125" s="2"/>
      <c r="I125" s="2"/>
      <c r="J125" s="2"/>
      <c r="K125" s="2"/>
      <c r="L125" s="2"/>
      <c r="M125" s="2"/>
      <c r="N125" s="2"/>
      <c r="O125" s="2"/>
      <c r="P125" s="2"/>
      <c r="Q125" s="2"/>
      <c r="R125" s="2"/>
      <c r="S125" s="121"/>
      <c r="T125" s="2"/>
      <c r="U125" s="2"/>
      <c r="V125" s="2"/>
      <c r="W125" s="2"/>
      <c r="X125" s="2"/>
      <c r="Y125" s="2"/>
      <c r="Z125" s="2"/>
      <c r="AA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row>
    <row r="126" spans="1:79" x14ac:dyDescent="0.25">
      <c r="A126" s="120"/>
      <c r="B126" s="2"/>
      <c r="C126" s="2"/>
      <c r="D126" s="2"/>
      <c r="E126" s="2"/>
      <c r="F126" s="2"/>
      <c r="G126" s="2"/>
      <c r="H126" s="2"/>
      <c r="I126" s="2"/>
      <c r="J126" s="2"/>
      <c r="K126" s="2"/>
      <c r="L126" s="2"/>
      <c r="M126" s="2"/>
      <c r="N126" s="2"/>
      <c r="O126" s="2"/>
      <c r="P126" s="2"/>
      <c r="Q126" s="2"/>
      <c r="R126" s="2"/>
      <c r="S126" s="121"/>
      <c r="T126" s="2"/>
      <c r="U126" s="2"/>
      <c r="V126" s="2"/>
      <c r="W126" s="2"/>
      <c r="X126" s="2"/>
      <c r="Y126" s="2"/>
      <c r="Z126" s="2"/>
      <c r="AA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row>
    <row r="127" spans="1:79" x14ac:dyDescent="0.25">
      <c r="A127" s="120"/>
      <c r="B127" s="2"/>
      <c r="C127" s="2"/>
      <c r="D127" s="2"/>
      <c r="E127" s="2"/>
      <c r="F127" s="2"/>
      <c r="G127" s="2"/>
      <c r="H127" s="2"/>
      <c r="I127" s="2"/>
      <c r="J127" s="2"/>
      <c r="K127" s="2"/>
      <c r="L127" s="2"/>
      <c r="M127" s="2"/>
      <c r="N127" s="2"/>
      <c r="O127" s="2"/>
      <c r="P127" s="2"/>
      <c r="Q127" s="2"/>
      <c r="R127" s="2"/>
      <c r="S127" s="121"/>
      <c r="T127" s="2"/>
      <c r="U127" s="2"/>
      <c r="V127" s="2"/>
      <c r="W127" s="2"/>
      <c r="X127" s="2"/>
      <c r="Y127" s="2"/>
      <c r="Z127" s="2"/>
      <c r="AA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row>
    <row r="128" spans="1:79" x14ac:dyDescent="0.25">
      <c r="A128" s="120"/>
      <c r="B128" s="2"/>
      <c r="C128" s="2"/>
      <c r="D128" s="2"/>
      <c r="E128" s="2"/>
      <c r="F128" s="2"/>
      <c r="G128" s="2"/>
      <c r="H128" s="2"/>
      <c r="I128" s="2"/>
      <c r="J128" s="2"/>
      <c r="K128" s="2"/>
      <c r="L128" s="2"/>
      <c r="M128" s="2"/>
      <c r="N128" s="2"/>
      <c r="O128" s="2"/>
      <c r="P128" s="2"/>
      <c r="Q128" s="2"/>
      <c r="R128" s="2"/>
      <c r="S128" s="121"/>
      <c r="T128" s="2"/>
      <c r="U128" s="2"/>
      <c r="V128" s="2"/>
      <c r="W128" s="2"/>
      <c r="X128" s="2"/>
      <c r="Y128" s="2"/>
      <c r="Z128" s="2"/>
      <c r="AA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row>
    <row r="129" spans="1:79" x14ac:dyDescent="0.25">
      <c r="A129" s="120"/>
      <c r="B129" s="2"/>
      <c r="C129" s="2"/>
      <c r="D129" s="2"/>
      <c r="E129" s="2"/>
      <c r="F129" s="2"/>
      <c r="G129" s="2"/>
      <c r="H129" s="2"/>
      <c r="I129" s="2"/>
      <c r="J129" s="2"/>
      <c r="K129" s="2"/>
      <c r="L129" s="2"/>
      <c r="M129" s="2"/>
      <c r="N129" s="2"/>
      <c r="O129" s="2"/>
      <c r="P129" s="2"/>
      <c r="Q129" s="2"/>
      <c r="R129" s="2"/>
      <c r="S129" s="121"/>
      <c r="T129" s="2"/>
      <c r="U129" s="2"/>
      <c r="V129" s="2"/>
      <c r="W129" s="2"/>
      <c r="X129" s="2"/>
      <c r="Y129" s="2"/>
      <c r="Z129" s="2"/>
      <c r="AA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row>
    <row r="130" spans="1:79" x14ac:dyDescent="0.25">
      <c r="A130" s="120"/>
      <c r="B130" s="2"/>
      <c r="C130" s="2"/>
      <c r="D130" s="2"/>
      <c r="E130" s="2"/>
      <c r="F130" s="2"/>
      <c r="G130" s="2"/>
      <c r="H130" s="2"/>
      <c r="I130" s="2"/>
      <c r="J130" s="2"/>
      <c r="K130" s="2"/>
      <c r="L130" s="2"/>
      <c r="M130" s="2"/>
      <c r="N130" s="2"/>
      <c r="O130" s="2"/>
      <c r="P130" s="2"/>
      <c r="Q130" s="2"/>
      <c r="R130" s="2"/>
      <c r="S130" s="121"/>
      <c r="T130" s="2"/>
      <c r="U130" s="2"/>
      <c r="V130" s="2"/>
      <c r="W130" s="2"/>
      <c r="X130" s="2"/>
      <c r="Y130" s="2"/>
      <c r="Z130" s="2"/>
      <c r="AA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row>
    <row r="131" spans="1:79" x14ac:dyDescent="0.25">
      <c r="A131" s="120"/>
      <c r="B131" s="2"/>
      <c r="C131" s="2"/>
      <c r="D131" s="2"/>
      <c r="E131" s="2"/>
      <c r="F131" s="2"/>
      <c r="G131" s="2"/>
      <c r="H131" s="2"/>
      <c r="I131" s="2"/>
      <c r="J131" s="2"/>
      <c r="K131" s="2"/>
      <c r="L131" s="2"/>
      <c r="M131" s="2"/>
      <c r="N131" s="2"/>
      <c r="O131" s="2"/>
      <c r="P131" s="2"/>
      <c r="Q131" s="2"/>
      <c r="R131" s="2"/>
      <c r="S131" s="121"/>
      <c r="T131" s="2"/>
      <c r="U131" s="2"/>
      <c r="V131" s="2"/>
      <c r="W131" s="2"/>
      <c r="X131" s="2"/>
      <c r="Y131" s="2"/>
      <c r="Z131" s="2"/>
      <c r="AA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row>
    <row r="132" spans="1:79" x14ac:dyDescent="0.25">
      <c r="A132" s="120"/>
      <c r="B132" s="2"/>
      <c r="C132" s="2"/>
      <c r="D132" s="2"/>
      <c r="E132" s="2"/>
      <c r="F132" s="2"/>
      <c r="G132" s="2"/>
      <c r="H132" s="2"/>
      <c r="I132" s="2"/>
      <c r="J132" s="2"/>
      <c r="K132" s="2"/>
      <c r="L132" s="2"/>
      <c r="M132" s="2"/>
      <c r="N132" s="2"/>
      <c r="O132" s="2"/>
      <c r="P132" s="2"/>
      <c r="Q132" s="2"/>
      <c r="R132" s="2"/>
      <c r="S132" s="121"/>
      <c r="T132" s="2"/>
      <c r="U132" s="2"/>
      <c r="V132" s="2"/>
      <c r="W132" s="2"/>
      <c r="X132" s="2"/>
      <c r="Y132" s="2"/>
      <c r="Z132" s="2"/>
      <c r="AA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row>
    <row r="133" spans="1:79" x14ac:dyDescent="0.25">
      <c r="A133" s="120"/>
      <c r="B133" s="2"/>
      <c r="C133" s="2"/>
      <c r="D133" s="2"/>
      <c r="E133" s="2"/>
      <c r="F133" s="2"/>
      <c r="G133" s="2"/>
      <c r="H133" s="2"/>
      <c r="I133" s="2"/>
      <c r="J133" s="2"/>
      <c r="K133" s="2"/>
      <c r="L133" s="2"/>
      <c r="M133" s="2"/>
      <c r="N133" s="2"/>
      <c r="O133" s="2"/>
      <c r="P133" s="2"/>
      <c r="Q133" s="2"/>
      <c r="R133" s="2"/>
      <c r="S133" s="121"/>
      <c r="T133" s="2"/>
      <c r="U133" s="2"/>
      <c r="V133" s="2"/>
      <c r="W133" s="2"/>
      <c r="X133" s="2"/>
      <c r="Y133" s="2"/>
      <c r="Z133" s="2"/>
      <c r="AA133" s="2"/>
      <c r="AB133" s="2"/>
      <c r="AC133" s="2"/>
      <c r="AD133" s="2"/>
      <c r="AE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row>
    <row r="134" spans="1:79" x14ac:dyDescent="0.25">
      <c r="A134" s="120"/>
      <c r="B134" s="2"/>
      <c r="C134" s="2"/>
      <c r="D134" s="2"/>
      <c r="E134" s="2"/>
      <c r="F134" s="2"/>
      <c r="G134" s="2"/>
      <c r="H134" s="2"/>
      <c r="I134" s="2"/>
      <c r="J134" s="2"/>
      <c r="K134" s="2"/>
      <c r="L134" s="2"/>
      <c r="M134" s="2"/>
      <c r="N134" s="2"/>
      <c r="O134" s="2"/>
      <c r="P134" s="2"/>
      <c r="Q134" s="2"/>
      <c r="R134" s="2"/>
      <c r="S134" s="121"/>
      <c r="T134" s="2"/>
      <c r="U134" s="2"/>
      <c r="V134" s="2"/>
      <c r="W134" s="2"/>
      <c r="X134" s="2"/>
      <c r="Y134" s="2"/>
      <c r="Z134" s="2"/>
      <c r="AA134" s="2"/>
      <c r="AB134" s="2"/>
      <c r="AC134" s="2"/>
      <c r="AD134" s="2"/>
      <c r="AE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row>
    <row r="135" spans="1:79" x14ac:dyDescent="0.25">
      <c r="A135" s="120"/>
      <c r="B135" s="2"/>
      <c r="C135" s="2"/>
      <c r="D135" s="2"/>
      <c r="E135" s="2"/>
      <c r="F135" s="2"/>
      <c r="G135" s="2"/>
      <c r="H135" s="2"/>
      <c r="I135" s="2"/>
      <c r="J135" s="2"/>
      <c r="K135" s="2"/>
      <c r="L135" s="2"/>
      <c r="M135" s="2"/>
      <c r="N135" s="2"/>
      <c r="O135" s="2"/>
      <c r="P135" s="2"/>
      <c r="Q135" s="2"/>
      <c r="R135" s="2"/>
      <c r="S135" s="121"/>
      <c r="T135" s="2"/>
      <c r="U135" s="2"/>
      <c r="V135" s="2"/>
      <c r="W135" s="2"/>
      <c r="X135" s="2"/>
      <c r="Y135" s="2"/>
      <c r="Z135" s="2"/>
      <c r="AA135" s="2"/>
      <c r="AB135" s="2"/>
      <c r="AC135" s="2"/>
      <c r="AD135" s="2"/>
      <c r="AE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row>
    <row r="136" spans="1:79" x14ac:dyDescent="0.25">
      <c r="A136" s="120"/>
      <c r="B136" s="2"/>
      <c r="C136" s="2"/>
      <c r="D136" s="2"/>
      <c r="E136" s="2"/>
      <c r="F136" s="2"/>
      <c r="G136" s="2"/>
      <c r="H136" s="2"/>
      <c r="I136" s="2"/>
      <c r="J136" s="2"/>
      <c r="K136" s="2"/>
      <c r="L136" s="2"/>
      <c r="M136" s="2"/>
      <c r="N136" s="2"/>
      <c r="O136" s="2"/>
      <c r="P136" s="2"/>
      <c r="Q136" s="2"/>
      <c r="R136" s="2"/>
      <c r="S136" s="121"/>
      <c r="T136" s="2"/>
      <c r="U136" s="2"/>
      <c r="V136" s="2"/>
      <c r="W136" s="2"/>
      <c r="X136" s="2"/>
      <c r="Y136" s="2"/>
      <c r="Z136" s="2"/>
      <c r="AA136" s="2"/>
      <c r="AB136" s="2"/>
      <c r="AC136" s="2"/>
      <c r="AD136" s="2"/>
      <c r="AE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row>
    <row r="137" spans="1:79" x14ac:dyDescent="0.25">
      <c r="A137" s="120"/>
      <c r="B137" s="2"/>
      <c r="C137" s="2"/>
      <c r="D137" s="2"/>
      <c r="E137" s="2"/>
      <c r="F137" s="2"/>
      <c r="G137" s="2"/>
      <c r="H137" s="2"/>
      <c r="I137" s="2"/>
      <c r="J137" s="2"/>
      <c r="K137" s="2"/>
      <c r="L137" s="2"/>
      <c r="M137" s="2"/>
      <c r="N137" s="2"/>
      <c r="O137" s="2"/>
      <c r="P137" s="2"/>
      <c r="Q137" s="2"/>
      <c r="R137" s="2"/>
      <c r="S137" s="121"/>
      <c r="T137" s="2"/>
      <c r="U137" s="2"/>
      <c r="V137" s="10"/>
      <c r="W137" s="2"/>
      <c r="X137" s="2"/>
      <c r="Y137" s="2"/>
      <c r="Z137" s="2"/>
      <c r="AA137" s="2"/>
      <c r="AB137" s="2"/>
      <c r="AC137" s="2"/>
      <c r="AD137" s="2"/>
      <c r="AE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row>
    <row r="138" spans="1:79" x14ac:dyDescent="0.25">
      <c r="A138" s="120"/>
      <c r="B138" s="2"/>
      <c r="C138" s="2"/>
      <c r="D138" s="2"/>
      <c r="E138" s="2"/>
      <c r="F138" s="2"/>
      <c r="G138" s="2"/>
      <c r="H138" s="2"/>
      <c r="I138" s="2"/>
      <c r="J138" s="2"/>
      <c r="K138" s="2"/>
      <c r="L138" s="2"/>
      <c r="M138" s="2"/>
      <c r="N138" s="2"/>
      <c r="O138" s="2"/>
      <c r="P138" s="2"/>
      <c r="Q138" s="2"/>
      <c r="R138" s="2"/>
      <c r="S138" s="121"/>
      <c r="T138" s="2"/>
      <c r="U138" s="2"/>
      <c r="V138" s="2"/>
      <c r="W138" s="2"/>
      <c r="X138" s="2"/>
      <c r="Y138" s="2"/>
      <c r="Z138" s="2"/>
      <c r="AA138" s="2"/>
      <c r="AB138" s="2"/>
      <c r="AC138" s="2"/>
      <c r="AD138" s="2"/>
      <c r="AE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row>
    <row r="139" spans="1:79" x14ac:dyDescent="0.25">
      <c r="A139" s="120"/>
      <c r="B139" s="2"/>
      <c r="C139" s="2"/>
      <c r="D139" s="2"/>
      <c r="E139" s="2"/>
      <c r="F139" s="2"/>
      <c r="G139" s="2"/>
      <c r="H139" s="2"/>
      <c r="I139" s="2"/>
      <c r="J139" s="2"/>
      <c r="K139" s="2"/>
      <c r="L139" s="2"/>
      <c r="M139" s="2"/>
      <c r="N139" s="2"/>
      <c r="O139" s="2"/>
      <c r="P139" s="2"/>
      <c r="Q139" s="2"/>
      <c r="R139" s="2"/>
      <c r="S139" s="121"/>
      <c r="T139" s="2"/>
      <c r="U139" s="2"/>
      <c r="V139" s="2"/>
      <c r="W139" s="2"/>
      <c r="X139" s="2"/>
      <c r="Y139" s="2"/>
      <c r="Z139" s="2"/>
      <c r="AA139" s="2"/>
      <c r="AB139" s="2"/>
      <c r="AC139" s="2"/>
      <c r="AD139" s="2"/>
      <c r="AE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row>
    <row r="140" spans="1:79" x14ac:dyDescent="0.25">
      <c r="A140" s="120"/>
      <c r="B140" s="2"/>
      <c r="C140" s="2"/>
      <c r="D140" s="2"/>
      <c r="E140" s="2"/>
      <c r="F140" s="2"/>
      <c r="G140" s="2"/>
      <c r="H140" s="2"/>
      <c r="I140" s="2"/>
      <c r="J140" s="2"/>
      <c r="K140" s="2"/>
      <c r="L140" s="2"/>
      <c r="M140" s="2"/>
      <c r="N140" s="2"/>
      <c r="O140" s="2"/>
      <c r="P140" s="2"/>
      <c r="Q140" s="2"/>
      <c r="R140" s="2"/>
      <c r="S140" s="121"/>
      <c r="T140" s="2"/>
      <c r="U140" s="2"/>
      <c r="V140" s="2"/>
      <c r="W140" s="2"/>
      <c r="X140" s="2"/>
      <c r="Y140" s="2"/>
      <c r="Z140" s="2"/>
      <c r="AA140" s="2"/>
      <c r="AB140" s="2"/>
      <c r="AC140" s="2"/>
      <c r="AD140" s="2"/>
      <c r="AE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row>
    <row r="141" spans="1:79" x14ac:dyDescent="0.25">
      <c r="A141" s="120"/>
      <c r="B141" s="2"/>
      <c r="C141" s="2"/>
      <c r="D141" s="2"/>
      <c r="E141" s="2"/>
      <c r="F141" s="2"/>
      <c r="G141" s="2"/>
      <c r="H141" s="2"/>
      <c r="I141" s="2"/>
      <c r="J141" s="2"/>
      <c r="K141" s="2"/>
      <c r="L141" s="2"/>
      <c r="M141" s="2"/>
      <c r="N141" s="2"/>
      <c r="O141" s="2"/>
      <c r="P141" s="2"/>
      <c r="Q141" s="2"/>
      <c r="R141" s="2"/>
      <c r="S141" s="121"/>
      <c r="T141" s="2"/>
      <c r="U141" s="2"/>
      <c r="V141" s="2"/>
      <c r="W141" s="2"/>
      <c r="X141" s="2"/>
      <c r="Y141" s="2"/>
      <c r="Z141" s="2"/>
      <c r="AA141" s="2"/>
      <c r="AB141" s="2"/>
      <c r="AC141" s="2"/>
      <c r="AD141" s="2"/>
      <c r="AE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row>
    <row r="142" spans="1:79" x14ac:dyDescent="0.25">
      <c r="A142" s="120"/>
      <c r="B142" s="2"/>
      <c r="C142" s="2"/>
      <c r="D142" s="2"/>
      <c r="E142" s="2"/>
      <c r="F142" s="2"/>
      <c r="G142" s="2"/>
      <c r="H142" s="2"/>
      <c r="I142" s="2"/>
      <c r="J142" s="2"/>
      <c r="K142" s="2"/>
      <c r="L142" s="2"/>
      <c r="M142" s="2"/>
      <c r="N142" s="2"/>
      <c r="O142" s="2"/>
      <c r="P142" s="2"/>
      <c r="Q142" s="2"/>
      <c r="R142" s="2"/>
      <c r="S142" s="121"/>
      <c r="T142" s="2"/>
      <c r="U142" s="2"/>
      <c r="V142" s="2"/>
      <c r="W142" s="2"/>
      <c r="X142" s="2"/>
      <c r="Y142" s="2"/>
      <c r="Z142" s="2"/>
      <c r="AA142" s="2"/>
      <c r="AB142" s="2"/>
      <c r="AC142" s="2"/>
      <c r="AD142" s="2"/>
      <c r="AE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row>
    <row r="143" spans="1:79" ht="10.5" customHeight="1" x14ac:dyDescent="0.25">
      <c r="A143" s="120"/>
      <c r="B143" s="2"/>
      <c r="C143" s="2"/>
      <c r="D143" s="2"/>
      <c r="E143" s="2"/>
      <c r="F143" s="2"/>
      <c r="G143" s="2"/>
      <c r="H143" s="2"/>
      <c r="I143" s="2"/>
      <c r="J143" s="2"/>
      <c r="K143" s="2"/>
      <c r="L143" s="2"/>
      <c r="M143" s="2"/>
      <c r="N143" s="2"/>
      <c r="O143" s="2"/>
      <c r="P143" s="2"/>
      <c r="Q143" s="2"/>
      <c r="R143" s="2"/>
      <c r="S143" s="121"/>
      <c r="T143" s="2"/>
      <c r="U143" s="2"/>
      <c r="V143" s="2"/>
      <c r="W143" s="2"/>
      <c r="X143" s="2"/>
      <c r="Y143" s="2"/>
      <c r="Z143" s="2"/>
      <c r="AA143" s="2"/>
      <c r="AB143" s="2"/>
      <c r="AC143" s="2"/>
      <c r="AD143" s="2"/>
      <c r="AE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row>
    <row r="144" spans="1:79" ht="8.25" customHeight="1" x14ac:dyDescent="0.25">
      <c r="A144" s="125"/>
      <c r="B144" s="126"/>
      <c r="C144" s="126"/>
      <c r="D144" s="126"/>
      <c r="E144" s="126"/>
      <c r="F144" s="126"/>
      <c r="G144" s="126"/>
      <c r="H144" s="126"/>
      <c r="I144" s="126"/>
      <c r="J144" s="126"/>
      <c r="K144" s="126"/>
      <c r="L144" s="126"/>
      <c r="M144" s="126"/>
      <c r="N144" s="126"/>
      <c r="O144" s="126"/>
      <c r="P144" s="126"/>
      <c r="Q144" s="126"/>
      <c r="R144" s="126"/>
      <c r="S144" s="127"/>
      <c r="T144" s="2"/>
      <c r="U144" s="2"/>
      <c r="V144" s="2"/>
      <c r="W144" s="2"/>
      <c r="X144" s="2"/>
      <c r="Y144" s="2"/>
      <c r="Z144" s="2"/>
      <c r="AA144" s="2"/>
      <c r="AB144" s="2"/>
      <c r="AC144" s="2"/>
      <c r="AD144" s="2"/>
      <c r="AE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row>
    <row r="145" spans="1:79" x14ac:dyDescent="0.25">
      <c r="A145" s="125"/>
      <c r="B145" s="126"/>
      <c r="C145" s="126"/>
      <c r="D145" s="126"/>
      <c r="E145" s="126"/>
      <c r="F145" s="126"/>
      <c r="G145" s="126"/>
      <c r="H145" s="126"/>
      <c r="I145" s="126"/>
      <c r="J145" s="126"/>
      <c r="K145" s="126"/>
      <c r="L145" s="126"/>
      <c r="M145" s="126"/>
      <c r="N145" s="126"/>
      <c r="O145" s="126"/>
      <c r="P145" s="126"/>
      <c r="Q145" s="126"/>
      <c r="R145" s="126"/>
      <c r="S145" s="127"/>
      <c r="T145" s="2"/>
      <c r="U145" s="2"/>
      <c r="V145" s="2"/>
      <c r="W145" s="2"/>
      <c r="X145" s="2"/>
      <c r="Y145" s="2"/>
      <c r="Z145" s="2"/>
      <c r="AA145" s="2"/>
      <c r="AB145" s="2"/>
      <c r="AC145" s="2"/>
      <c r="AD145" s="2"/>
      <c r="AE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row>
    <row r="146" spans="1:79" x14ac:dyDescent="0.25">
      <c r="A146" s="155"/>
      <c r="B146" s="155"/>
      <c r="C146" s="155"/>
      <c r="D146" s="155"/>
      <c r="E146" s="155"/>
      <c r="F146" s="155"/>
      <c r="G146" s="155"/>
      <c r="H146" s="155"/>
      <c r="I146" s="155"/>
      <c r="J146" s="155"/>
      <c r="K146" s="155"/>
      <c r="L146" s="155"/>
      <c r="M146" s="155"/>
      <c r="N146" s="155"/>
      <c r="O146" s="155"/>
      <c r="P146" s="155"/>
      <c r="Q146" s="155"/>
      <c r="R146" s="155"/>
      <c r="S146" s="155"/>
      <c r="T146" s="2"/>
      <c r="U146" s="2"/>
      <c r="V146" s="2"/>
      <c r="W146" s="2"/>
      <c r="X146" s="2"/>
      <c r="Y146" s="2"/>
      <c r="Z146" s="2"/>
      <c r="AA146" s="2"/>
      <c r="AB146" s="2"/>
      <c r="AC146" s="2"/>
      <c r="AD146" s="2"/>
      <c r="AE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row>
    <row r="147" spans="1:79"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row>
    <row r="148" spans="1:79"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79"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79"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79"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79"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79"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79"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sheetData>
  <sheetProtection password="8CF0" sheet="1" objects="1" scenarios="1" selectLockedCells="1"/>
  <mergeCells count="13">
    <mergeCell ref="A68:S68"/>
    <mergeCell ref="U48:Z48"/>
    <mergeCell ref="A16:S16"/>
    <mergeCell ref="A47:S47"/>
    <mergeCell ref="A2:S3"/>
    <mergeCell ref="A4:S5"/>
    <mergeCell ref="B7:E8"/>
    <mergeCell ref="F7:R8"/>
    <mergeCell ref="B13:R14"/>
    <mergeCell ref="B9:E10"/>
    <mergeCell ref="F9:R10"/>
    <mergeCell ref="B11:E12"/>
    <mergeCell ref="F11:R12"/>
  </mergeCells>
  <printOptions horizontalCentered="1" verticalCentered="1"/>
  <pageMargins left="0.25" right="0.25" top="0.25" bottom="0.25" header="0" footer="0"/>
  <pageSetup scale="55" fitToWidth="0" fitToHeight="0" orientation="portrait" r:id="rId1"/>
  <rowBreaks count="2" manualBreakCount="2">
    <brk id="66" max="18" man="1"/>
    <brk id="145" max="18" man="1"/>
  </rowBreaks>
  <drawing r:id="rId2"/>
  <legacyDrawing r:id="rId3"/>
  <controls>
    <mc:AlternateContent xmlns:mc="http://schemas.openxmlformats.org/markup-compatibility/2006">
      <mc:Choice Requires="x14">
        <control shapeId="20481" r:id="rId4" name="CommandButton1">
          <controlPr locked="0" defaultSize="0" autoLine="0" autoPict="0" r:id="rId5">
            <anchor moveWithCells="1">
              <from>
                <xdr:col>38</xdr:col>
                <xdr:colOff>133350</xdr:colOff>
                <xdr:row>2</xdr:row>
                <xdr:rowOff>123825</xdr:rowOff>
              </from>
              <to>
                <xdr:col>42</xdr:col>
                <xdr:colOff>361950</xdr:colOff>
                <xdr:row>6</xdr:row>
                <xdr:rowOff>38100</xdr:rowOff>
              </to>
            </anchor>
          </controlPr>
        </control>
      </mc:Choice>
      <mc:Fallback>
        <control shapeId="20481" r:id="rId4" name="CommandButton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39997558519241921"/>
  </sheetPr>
  <dimension ref="A1:CA95"/>
  <sheetViews>
    <sheetView zoomScaleNormal="100" workbookViewId="0">
      <pane ySplit="6" topLeftCell="A7" activePane="bottomLeft" state="frozen"/>
      <selection pane="bottomLeft" sqref="A1:C2"/>
    </sheetView>
  </sheetViews>
  <sheetFormatPr defaultRowHeight="15" x14ac:dyDescent="0.25"/>
  <cols>
    <col min="1" max="1" width="60.42578125" style="145" customWidth="1"/>
    <col min="2" max="2" width="8.85546875" style="145" bestFit="1" customWidth="1"/>
    <col min="3" max="3" width="17.5703125" style="145" customWidth="1"/>
    <col min="4" max="5" width="9.140625" style="145" hidden="1" customWidth="1"/>
    <col min="6" max="6" width="52.42578125" style="145" hidden="1" customWidth="1"/>
    <col min="7" max="9" width="11.28515625" style="145" hidden="1" customWidth="1"/>
    <col min="10" max="10" width="52.42578125" style="145" hidden="1" customWidth="1"/>
    <col min="11" max="11" width="9.140625" style="145" hidden="1" customWidth="1"/>
    <col min="12" max="12" width="31.7109375" style="145" hidden="1" customWidth="1"/>
    <col min="13" max="15" width="11.85546875" style="145" hidden="1" customWidth="1"/>
    <col min="16" max="16" width="31.7109375" style="145" hidden="1" customWidth="1"/>
    <col min="17" max="19" width="9.140625" style="145" hidden="1" customWidth="1"/>
    <col min="20" max="20" width="59.5703125" style="145" hidden="1" customWidth="1"/>
    <col min="21" max="21" width="8.85546875" style="145" hidden="1" customWidth="1"/>
    <col min="22" max="22" width="15.7109375" style="145" hidden="1" customWidth="1"/>
    <col min="23" max="38" width="9.140625" style="145" hidden="1" customWidth="1"/>
    <col min="39" max="39" width="56.7109375" style="145" hidden="1" customWidth="1"/>
    <col min="40" max="40" width="10" style="145" hidden="1" customWidth="1"/>
    <col min="41" max="41" width="15.7109375" style="145" hidden="1" customWidth="1"/>
    <col min="42" max="57" width="9.140625" style="145" hidden="1" customWidth="1"/>
    <col min="58" max="16384" width="9.140625" style="145"/>
  </cols>
  <sheetData>
    <row r="1" spans="1:79" ht="15" customHeight="1" x14ac:dyDescent="0.25">
      <c r="A1" s="652" t="s">
        <v>154</v>
      </c>
      <c r="B1" s="653"/>
      <c r="C1" s="654"/>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146"/>
      <c r="AQ1" s="146"/>
      <c r="AR1" s="146"/>
      <c r="AS1" s="146"/>
      <c r="AT1" s="146"/>
      <c r="AU1" s="146"/>
      <c r="AV1" s="146"/>
      <c r="AW1" s="146"/>
      <c r="AX1" s="146"/>
      <c r="AY1" s="146"/>
      <c r="AZ1" s="146"/>
      <c r="BA1" s="146"/>
      <c r="BF1" s="159"/>
      <c r="BG1" s="159"/>
      <c r="BH1" s="159"/>
      <c r="BI1" s="159"/>
      <c r="BJ1" s="159"/>
      <c r="BK1" s="159"/>
      <c r="BL1" s="159"/>
      <c r="BM1" s="159"/>
      <c r="BN1" s="159"/>
      <c r="BO1" s="159"/>
      <c r="BP1" s="159"/>
      <c r="BQ1" s="159"/>
      <c r="BR1" s="159"/>
      <c r="BS1" s="159"/>
      <c r="BT1" s="159"/>
      <c r="BU1" s="159"/>
      <c r="BV1" s="159"/>
      <c r="BW1" s="159"/>
      <c r="BX1" s="159"/>
      <c r="BY1" s="159"/>
      <c r="BZ1" s="159"/>
      <c r="CA1" s="159"/>
    </row>
    <row r="2" spans="1:79" ht="15" customHeight="1" x14ac:dyDescent="0.25">
      <c r="A2" s="655"/>
      <c r="B2" s="656"/>
      <c r="C2" s="65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146"/>
      <c r="AQ2" s="146"/>
      <c r="AR2" s="146"/>
      <c r="AS2" s="146"/>
      <c r="AT2" s="146"/>
      <c r="AU2" s="146"/>
      <c r="AV2" s="146"/>
      <c r="AW2" s="146"/>
      <c r="AX2" s="146"/>
      <c r="AY2" s="146"/>
      <c r="AZ2" s="146"/>
      <c r="BA2" s="146"/>
      <c r="BF2" s="159"/>
      <c r="BG2" s="159"/>
      <c r="BH2" s="159"/>
      <c r="BI2" s="159"/>
      <c r="BJ2" s="159"/>
      <c r="BK2" s="159"/>
      <c r="BL2" s="159"/>
      <c r="BM2" s="159"/>
      <c r="BN2" s="159"/>
      <c r="BO2" s="159"/>
      <c r="BP2" s="159"/>
      <c r="BQ2" s="159"/>
      <c r="BR2" s="159"/>
      <c r="BS2" s="159"/>
      <c r="BT2" s="159"/>
      <c r="BU2" s="159"/>
      <c r="BV2" s="159"/>
      <c r="BW2" s="159"/>
      <c r="BX2" s="159"/>
      <c r="BY2" s="159"/>
      <c r="BZ2" s="159"/>
      <c r="CA2" s="159"/>
    </row>
    <row r="3" spans="1:79" ht="15" customHeight="1" x14ac:dyDescent="0.25">
      <c r="A3" s="646" t="s">
        <v>309</v>
      </c>
      <c r="B3" s="647"/>
      <c r="C3" s="648"/>
      <c r="D3" s="293"/>
      <c r="E3" s="293"/>
      <c r="F3" s="293"/>
      <c r="G3" s="293"/>
      <c r="H3" s="293"/>
      <c r="I3" s="293"/>
      <c r="J3" s="293"/>
      <c r="K3" s="293"/>
      <c r="L3" s="293"/>
      <c r="M3" s="293"/>
      <c r="N3" s="293"/>
      <c r="O3" s="293"/>
      <c r="P3" s="293"/>
      <c r="Q3" s="293"/>
      <c r="R3" s="293"/>
      <c r="S3" s="293"/>
      <c r="T3" s="293"/>
      <c r="U3" s="293"/>
      <c r="V3" s="294"/>
      <c r="W3" s="166"/>
      <c r="X3" s="166"/>
      <c r="Y3" s="166"/>
      <c r="Z3" s="166"/>
      <c r="AA3" s="166"/>
      <c r="AB3" s="166"/>
      <c r="AC3" s="166"/>
      <c r="AD3" s="166"/>
      <c r="AE3" s="166"/>
      <c r="AF3" s="166"/>
      <c r="AG3" s="166"/>
      <c r="AH3" s="166"/>
      <c r="AI3" s="166"/>
      <c r="AJ3" s="166"/>
      <c r="AK3" s="166"/>
      <c r="AL3" s="166"/>
      <c r="AM3" s="658"/>
      <c r="AN3" s="659"/>
      <c r="AO3" s="660"/>
      <c r="AP3" s="146"/>
      <c r="AQ3" s="146"/>
      <c r="AR3" s="146"/>
      <c r="AS3" s="146"/>
      <c r="AT3" s="146"/>
      <c r="AU3" s="146"/>
      <c r="AV3" s="146"/>
      <c r="AW3" s="146"/>
      <c r="AX3" s="146"/>
      <c r="AY3" s="146"/>
      <c r="AZ3" s="146"/>
      <c r="BA3" s="146"/>
      <c r="BF3" s="159"/>
      <c r="BG3" s="159"/>
      <c r="BH3" s="159"/>
      <c r="BI3" s="159"/>
      <c r="BJ3" s="159"/>
      <c r="BK3" s="159"/>
      <c r="BL3" s="159"/>
      <c r="BM3" s="159"/>
      <c r="BN3" s="159"/>
      <c r="BO3" s="159"/>
      <c r="BP3" s="159"/>
      <c r="BQ3" s="159"/>
      <c r="BR3" s="159"/>
      <c r="BS3" s="159"/>
      <c r="BT3" s="159"/>
      <c r="BU3" s="159"/>
      <c r="BV3" s="159"/>
      <c r="BW3" s="159"/>
      <c r="BX3" s="159"/>
      <c r="BY3" s="159"/>
      <c r="BZ3" s="159"/>
      <c r="CA3" s="159"/>
    </row>
    <row r="4" spans="1:79" ht="15" customHeight="1" x14ac:dyDescent="0.25">
      <c r="A4" s="649"/>
      <c r="B4" s="650"/>
      <c r="C4" s="651"/>
      <c r="D4" s="295"/>
      <c r="E4" s="295"/>
      <c r="F4" s="295"/>
      <c r="G4" s="295"/>
      <c r="H4" s="295"/>
      <c r="I4" s="295"/>
      <c r="J4" s="295"/>
      <c r="K4" s="295"/>
      <c r="L4" s="295"/>
      <c r="M4" s="295"/>
      <c r="N4" s="295"/>
      <c r="O4" s="295"/>
      <c r="P4" s="295"/>
      <c r="Q4" s="295"/>
      <c r="R4" s="295"/>
      <c r="S4" s="295"/>
      <c r="T4" s="295"/>
      <c r="U4" s="295"/>
      <c r="V4" s="296"/>
      <c r="W4" s="166"/>
      <c r="X4" s="166"/>
      <c r="Y4" s="166"/>
      <c r="Z4" s="166"/>
      <c r="AA4" s="166"/>
      <c r="AB4" s="166"/>
      <c r="AC4" s="166"/>
      <c r="AD4" s="166"/>
      <c r="AE4" s="166"/>
      <c r="AF4" s="166"/>
      <c r="AG4" s="166"/>
      <c r="AH4" s="166"/>
      <c r="AI4" s="166"/>
      <c r="AJ4" s="166"/>
      <c r="AK4" s="166"/>
      <c r="AL4" s="166"/>
      <c r="AM4" s="661"/>
      <c r="AN4" s="662"/>
      <c r="AO4" s="663"/>
      <c r="AP4" s="146"/>
      <c r="AQ4" s="146"/>
      <c r="AR4" s="146"/>
      <c r="AS4" s="146"/>
      <c r="AT4" s="146"/>
      <c r="AU4" s="146"/>
      <c r="AV4" s="146"/>
      <c r="AW4" s="146"/>
      <c r="AX4" s="146"/>
      <c r="AY4" s="146"/>
      <c r="AZ4" s="146"/>
      <c r="BA4" s="146"/>
      <c r="BF4" s="159"/>
      <c r="BG4" s="159"/>
      <c r="BH4" s="159"/>
      <c r="BI4" s="159"/>
      <c r="BJ4" s="159"/>
      <c r="BK4" s="159"/>
      <c r="BL4" s="159"/>
      <c r="BM4" s="159"/>
      <c r="BN4" s="159"/>
      <c r="BO4" s="159"/>
      <c r="BP4" s="159"/>
      <c r="BQ4" s="159"/>
      <c r="BR4" s="159"/>
      <c r="BS4" s="159"/>
      <c r="BT4" s="159"/>
      <c r="BU4" s="159"/>
      <c r="BV4" s="159"/>
      <c r="BW4" s="159"/>
      <c r="BX4" s="159"/>
      <c r="BY4" s="159"/>
      <c r="BZ4" s="159"/>
      <c r="CA4" s="159"/>
    </row>
    <row r="5" spans="1:79" ht="15" customHeight="1" x14ac:dyDescent="0.25">
      <c r="A5" s="168"/>
      <c r="B5" s="166"/>
      <c r="C5" s="169"/>
      <c r="D5" s="295"/>
      <c r="E5" s="295"/>
      <c r="F5" s="295"/>
      <c r="G5" s="295"/>
      <c r="H5" s="295"/>
      <c r="I5" s="295"/>
      <c r="J5" s="295"/>
      <c r="K5" s="295"/>
      <c r="L5" s="295"/>
      <c r="M5" s="295"/>
      <c r="N5" s="295"/>
      <c r="O5" s="295"/>
      <c r="P5" s="295"/>
      <c r="Q5" s="295"/>
      <c r="R5" s="295"/>
      <c r="S5" s="295"/>
      <c r="T5" s="295"/>
      <c r="U5" s="295"/>
      <c r="V5" s="295"/>
      <c r="W5" s="166"/>
      <c r="X5" s="166"/>
      <c r="Y5" s="166"/>
      <c r="Z5" s="166"/>
      <c r="AA5" s="166"/>
      <c r="AB5" s="166"/>
      <c r="AC5" s="166"/>
      <c r="AD5" s="166"/>
      <c r="AE5" s="166"/>
      <c r="AF5" s="166"/>
      <c r="AG5" s="166"/>
      <c r="AH5" s="166"/>
      <c r="AI5" s="166"/>
      <c r="AJ5" s="166"/>
      <c r="AK5" s="166"/>
      <c r="AL5" s="166"/>
      <c r="AM5" s="298"/>
      <c r="AN5" s="298"/>
      <c r="AO5" s="298"/>
      <c r="AP5" s="146"/>
      <c r="AQ5" s="146"/>
      <c r="AR5" s="146"/>
      <c r="AS5" s="146"/>
      <c r="AT5" s="146"/>
      <c r="AU5" s="146"/>
      <c r="AV5" s="146"/>
      <c r="AW5" s="146"/>
      <c r="AX5" s="146"/>
      <c r="AY5" s="146"/>
      <c r="AZ5" s="146"/>
      <c r="BA5" s="146"/>
      <c r="BF5" s="159"/>
      <c r="BG5" s="159"/>
      <c r="BH5" s="159"/>
      <c r="BI5" s="159"/>
      <c r="BJ5" s="159"/>
      <c r="BK5" s="159"/>
      <c r="BL5" s="159"/>
      <c r="BM5" s="159"/>
      <c r="BN5" s="159"/>
      <c r="BO5" s="159"/>
      <c r="BP5" s="159"/>
      <c r="BQ5" s="159"/>
      <c r="BR5" s="159"/>
      <c r="BS5" s="159"/>
      <c r="BT5" s="159"/>
      <c r="BU5" s="159"/>
      <c r="BV5" s="159"/>
      <c r="BW5" s="159"/>
      <c r="BX5" s="159"/>
      <c r="BY5" s="159"/>
      <c r="BZ5" s="159"/>
      <c r="CA5" s="159"/>
    </row>
    <row r="6" spans="1:79" ht="15" customHeight="1" x14ac:dyDescent="0.25">
      <c r="A6" s="168"/>
      <c r="B6" s="166"/>
      <c r="C6" s="169"/>
      <c r="D6" s="295"/>
      <c r="E6" s="295"/>
      <c r="F6" s="295"/>
      <c r="G6" s="295"/>
      <c r="H6" s="295"/>
      <c r="I6" s="295"/>
      <c r="J6" s="295"/>
      <c r="K6" s="295"/>
      <c r="L6" s="295"/>
      <c r="M6" s="295"/>
      <c r="N6" s="295"/>
      <c r="O6" s="295"/>
      <c r="P6" s="295"/>
      <c r="Q6" s="295"/>
      <c r="R6" s="295"/>
      <c r="S6" s="295"/>
      <c r="T6" s="295"/>
      <c r="U6" s="295"/>
      <c r="V6" s="295"/>
      <c r="W6" s="166"/>
      <c r="X6" s="166"/>
      <c r="Y6" s="166"/>
      <c r="Z6" s="166"/>
      <c r="AA6" s="166"/>
      <c r="AB6" s="166"/>
      <c r="AC6" s="166"/>
      <c r="AD6" s="166"/>
      <c r="AE6" s="166"/>
      <c r="AF6" s="166"/>
      <c r="AG6" s="166"/>
      <c r="AH6" s="166"/>
      <c r="AI6" s="166"/>
      <c r="AJ6" s="166"/>
      <c r="AK6" s="166"/>
      <c r="AL6" s="166"/>
      <c r="AM6" s="298"/>
      <c r="AN6" s="298"/>
      <c r="AO6" s="298"/>
      <c r="AP6" s="146"/>
      <c r="AQ6" s="146"/>
      <c r="AR6" s="146"/>
      <c r="AS6" s="146"/>
      <c r="AT6" s="146"/>
      <c r="AU6" s="146"/>
      <c r="AV6" s="146"/>
      <c r="AW6" s="146"/>
      <c r="AX6" s="146"/>
      <c r="AY6" s="146"/>
      <c r="AZ6" s="146"/>
      <c r="BA6" s="146"/>
      <c r="BF6" s="159"/>
      <c r="BG6" s="159"/>
      <c r="BH6" s="159"/>
      <c r="BI6" s="159"/>
      <c r="BJ6" s="159"/>
      <c r="BK6" s="159"/>
      <c r="BL6" s="159"/>
      <c r="BM6" s="159"/>
      <c r="BN6" s="159"/>
      <c r="BO6" s="159"/>
      <c r="BP6" s="159"/>
      <c r="BQ6" s="159"/>
      <c r="BR6" s="159"/>
      <c r="BS6" s="159"/>
      <c r="BT6" s="159"/>
      <c r="BU6" s="159"/>
      <c r="BV6" s="159"/>
      <c r="BW6" s="159"/>
      <c r="BX6" s="159"/>
      <c r="BY6" s="159"/>
      <c r="BZ6" s="159"/>
      <c r="CA6" s="159"/>
    </row>
    <row r="7" spans="1:79" ht="23.25" x14ac:dyDescent="0.25">
      <c r="A7" s="670" t="s">
        <v>266</v>
      </c>
      <c r="B7" s="671"/>
      <c r="C7" s="672"/>
      <c r="D7" s="157"/>
      <c r="E7" s="157"/>
      <c r="F7" s="157"/>
      <c r="G7" s="157"/>
      <c r="H7" s="157"/>
      <c r="I7" s="157"/>
      <c r="J7" s="157"/>
      <c r="K7" s="157"/>
      <c r="L7" s="157"/>
      <c r="M7" s="157"/>
      <c r="N7" s="157"/>
      <c r="O7" s="157"/>
      <c r="P7" s="157"/>
      <c r="Q7" s="157"/>
      <c r="R7" s="157"/>
      <c r="S7" s="158"/>
      <c r="BF7" s="159"/>
      <c r="BG7" s="159"/>
      <c r="BH7" s="159"/>
      <c r="BI7" s="159"/>
      <c r="BJ7" s="159"/>
      <c r="BK7" s="159"/>
      <c r="BL7" s="159"/>
      <c r="BM7" s="159"/>
      <c r="BN7" s="159"/>
      <c r="BO7" s="159"/>
      <c r="BP7" s="159"/>
      <c r="BQ7" s="159"/>
      <c r="BR7" s="159"/>
      <c r="BS7" s="159"/>
      <c r="BT7" s="159"/>
      <c r="BU7" s="159"/>
      <c r="BV7" s="159"/>
      <c r="BW7" s="159"/>
      <c r="BX7" s="159"/>
      <c r="BY7" s="159"/>
      <c r="BZ7" s="159"/>
      <c r="CA7" s="159"/>
    </row>
    <row r="8" spans="1:79" x14ac:dyDescent="0.25">
      <c r="A8" s="234" t="s">
        <v>125</v>
      </c>
      <c r="B8" s="235" t="s">
        <v>130</v>
      </c>
      <c r="C8" s="236" t="s">
        <v>187</v>
      </c>
      <c r="D8" s="157"/>
      <c r="E8" s="157"/>
      <c r="F8" s="157"/>
      <c r="G8" s="157"/>
      <c r="H8" s="157"/>
      <c r="I8" s="157"/>
      <c r="J8" s="157"/>
      <c r="K8" s="157"/>
      <c r="L8" s="157"/>
      <c r="M8" s="157"/>
      <c r="N8" s="157"/>
      <c r="O8" s="157"/>
      <c r="P8" s="157"/>
      <c r="Q8" s="157"/>
      <c r="R8" s="157"/>
      <c r="S8" s="158"/>
      <c r="BF8" s="159"/>
      <c r="BG8" s="159"/>
      <c r="BH8" s="159"/>
      <c r="BI8" s="159"/>
      <c r="BJ8" s="159"/>
      <c r="BK8" s="159"/>
      <c r="BL8" s="159"/>
      <c r="BM8" s="159"/>
      <c r="BN8" s="159"/>
      <c r="BO8" s="159"/>
      <c r="BP8" s="159"/>
      <c r="BQ8" s="159"/>
      <c r="BR8" s="159"/>
      <c r="BS8" s="159"/>
      <c r="BT8" s="159"/>
      <c r="BU8" s="159"/>
      <c r="BV8" s="159"/>
      <c r="BW8" s="159"/>
      <c r="BX8" s="159"/>
      <c r="BY8" s="159"/>
      <c r="BZ8" s="159"/>
      <c r="CA8" s="159"/>
    </row>
    <row r="9" spans="1:79" ht="16.5" x14ac:dyDescent="0.25">
      <c r="A9" s="640" t="s">
        <v>126</v>
      </c>
      <c r="B9" s="641"/>
      <c r="C9" s="642"/>
      <c r="D9" s="157"/>
      <c r="E9" s="157"/>
      <c r="F9" s="157" t="s">
        <v>244</v>
      </c>
      <c r="G9" s="157" t="s">
        <v>246</v>
      </c>
      <c r="H9" s="157" t="s">
        <v>247</v>
      </c>
      <c r="I9" s="157" t="s">
        <v>248</v>
      </c>
      <c r="J9" s="157" t="s">
        <v>249</v>
      </c>
      <c r="K9" s="157"/>
      <c r="L9" s="157" t="s">
        <v>245</v>
      </c>
      <c r="M9" s="157" t="s">
        <v>251</v>
      </c>
      <c r="N9" s="157" t="s">
        <v>250</v>
      </c>
      <c r="O9" s="157" t="s">
        <v>253</v>
      </c>
      <c r="P9" s="157" t="s">
        <v>252</v>
      </c>
      <c r="Q9" s="157"/>
      <c r="R9" s="157"/>
      <c r="S9" s="158"/>
      <c r="BF9" s="159"/>
      <c r="BG9" s="159"/>
      <c r="BH9" s="159"/>
      <c r="BI9" s="159"/>
      <c r="BJ9" s="159"/>
      <c r="BK9" s="159"/>
      <c r="BL9" s="159"/>
      <c r="BM9" s="159"/>
      <c r="BN9" s="159"/>
      <c r="BO9" s="159"/>
      <c r="BP9" s="159"/>
      <c r="BQ9" s="159"/>
      <c r="BR9" s="159"/>
      <c r="BS9" s="159"/>
      <c r="BT9" s="159"/>
      <c r="BU9" s="159"/>
      <c r="BV9" s="159"/>
      <c r="BW9" s="159"/>
      <c r="BX9" s="159"/>
      <c r="BY9" s="159"/>
      <c r="BZ9" s="159"/>
      <c r="CA9" s="159"/>
    </row>
    <row r="10" spans="1:79" x14ac:dyDescent="0.25">
      <c r="A10" s="237" t="s">
        <v>220</v>
      </c>
      <c r="B10" s="238"/>
      <c r="C10" s="239" t="s">
        <v>188</v>
      </c>
      <c r="D10" s="157"/>
      <c r="E10" s="157"/>
      <c r="F10" s="157" t="str">
        <f>IF(AND(S10=TRUE,C10="Station"),A10,"")</f>
        <v>Develop and install wayfinding signage</v>
      </c>
      <c r="G10" s="157">
        <f>IF(F10="","",ROW())</f>
        <v>10</v>
      </c>
      <c r="H10" s="157">
        <f>IF(G10="","",RANK(G10,G$10:G$20,-1))</f>
        <v>1</v>
      </c>
      <c r="I10" s="157">
        <f>MATCH(ROW()-9,H$10:H$20,0)</f>
        <v>1</v>
      </c>
      <c r="J10" s="157" t="str">
        <f ca="1">IFERROR(OFFSET(F$10,-1+I10,0),"")</f>
        <v>Develop and install wayfinding signage</v>
      </c>
      <c r="K10" s="157"/>
      <c r="L10" s="157" t="str">
        <f>IF(AND(F26=TRUE,I10="Station"),G10,"")</f>
        <v/>
      </c>
      <c r="M10" s="157" t="str">
        <f>IF(L10="","",ROW())</f>
        <v/>
      </c>
      <c r="N10" s="157" t="str">
        <f>IF(M10="","",RANK(M10,M$10:M$20,-1))</f>
        <v/>
      </c>
      <c r="O10" s="157">
        <f>MATCH(ROW()-9,N$10:N$20,0)</f>
        <v>4</v>
      </c>
      <c r="P10" s="157" t="str">
        <f ca="1">IFERROR(OFFSET(L$10,-1+O10,0),"")</f>
        <v>Revisit bicycles on escalators policy</v>
      </c>
      <c r="Q10" s="157"/>
      <c r="R10" s="157"/>
      <c r="S10" s="158" t="b">
        <v>1</v>
      </c>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row>
    <row r="11" spans="1:79" x14ac:dyDescent="0.25">
      <c r="A11" s="237" t="s">
        <v>221</v>
      </c>
      <c r="B11" s="238"/>
      <c r="C11" s="239" t="s">
        <v>188</v>
      </c>
      <c r="D11" s="157"/>
      <c r="E11" s="157"/>
      <c r="F11" s="157" t="str">
        <f>IF(AND(S11=TRUE,C11="Station"),A11,"")</f>
        <v>Optimize routes between surrounding network and fare gates</v>
      </c>
      <c r="G11" s="157">
        <f t="shared" ref="G11:G20" si="0">IF(F11="","",ROW())</f>
        <v>11</v>
      </c>
      <c r="H11" s="157">
        <f t="shared" ref="H11:H20" si="1">IF(G11="","",RANK(G11,G$10:G$20,-1))</f>
        <v>2</v>
      </c>
      <c r="I11" s="157">
        <f t="shared" ref="I11:I20" si="2">MATCH(ROW()-9,H$10:H$20,0)</f>
        <v>2</v>
      </c>
      <c r="J11" s="157" t="str">
        <f t="shared" ref="J11:J20" ca="1" si="3">IFERROR(OFFSET(F$10,-1+I11,0),"")</f>
        <v>Optimize routes between surrounding network and fare gates</v>
      </c>
      <c r="K11" s="157"/>
      <c r="L11" s="157" t="str">
        <f>IF(AND(S11=TRUE,C11="Systemwide"),A11,"")</f>
        <v/>
      </c>
      <c r="M11" s="157" t="str">
        <f t="shared" ref="M11:M20" si="4">IF(L11="","",ROW())</f>
        <v/>
      </c>
      <c r="N11" s="157" t="str">
        <f t="shared" ref="N11:N20" si="5">IF(M11="","",RANK(M11,M$10:M$20,-1))</f>
        <v/>
      </c>
      <c r="O11" s="157" t="e">
        <f t="shared" ref="O11:O20" si="6">MATCH(ROW()-9,N$10:N$20,0)</f>
        <v>#N/A</v>
      </c>
      <c r="P11" s="157" t="str">
        <f t="shared" ref="P11:P20" ca="1" si="7">IFERROR(OFFSET(L$10,-1+O11,0),"")</f>
        <v/>
      </c>
      <c r="Q11" s="157"/>
      <c r="R11" s="157"/>
      <c r="S11" s="158" t="b">
        <v>1</v>
      </c>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row>
    <row r="12" spans="1:79" x14ac:dyDescent="0.25">
      <c r="A12" s="237" t="s">
        <v>305</v>
      </c>
      <c r="B12" s="238"/>
      <c r="C12" s="239" t="s">
        <v>188</v>
      </c>
      <c r="D12" s="157"/>
      <c r="E12" s="157"/>
      <c r="F12" s="157" t="str">
        <f>IF(AND(S12=TRUE,C12="Station"),A12,"")</f>
        <v>Evaluate and install stairway channels</v>
      </c>
      <c r="G12" s="157">
        <f t="shared" si="0"/>
        <v>12</v>
      </c>
      <c r="H12" s="157">
        <f t="shared" si="1"/>
        <v>3</v>
      </c>
      <c r="I12" s="157">
        <f t="shared" si="2"/>
        <v>3</v>
      </c>
      <c r="J12" s="157" t="str">
        <f t="shared" ca="1" si="3"/>
        <v>Evaluate and install stairway channels</v>
      </c>
      <c r="K12" s="157"/>
      <c r="L12" s="157" t="str">
        <f>IF(AND(S12=TRUE,C12="Systemwide"),A12,"")</f>
        <v/>
      </c>
      <c r="M12" s="157" t="str">
        <f t="shared" si="4"/>
        <v/>
      </c>
      <c r="N12" s="157" t="str">
        <f t="shared" si="5"/>
        <v/>
      </c>
      <c r="O12" s="157" t="e">
        <f t="shared" si="6"/>
        <v>#N/A</v>
      </c>
      <c r="P12" s="157" t="str">
        <f t="shared" ca="1" si="7"/>
        <v/>
      </c>
      <c r="Q12" s="157"/>
      <c r="R12" s="157"/>
      <c r="S12" s="158" t="b">
        <v>1</v>
      </c>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row>
    <row r="13" spans="1:79" x14ac:dyDescent="0.25">
      <c r="A13" s="237" t="s">
        <v>222</v>
      </c>
      <c r="B13" s="238"/>
      <c r="C13" s="239" t="s">
        <v>189</v>
      </c>
      <c r="D13" s="157"/>
      <c r="E13" s="157"/>
      <c r="F13" s="157" t="str">
        <f>IF(AND(S13=TRUE,C13="Station"),A13,"")</f>
        <v/>
      </c>
      <c r="G13" s="157" t="str">
        <f t="shared" si="0"/>
        <v/>
      </c>
      <c r="H13" s="157" t="str">
        <f t="shared" si="1"/>
        <v/>
      </c>
      <c r="I13" s="157">
        <f t="shared" si="2"/>
        <v>5</v>
      </c>
      <c r="J13" s="157" t="str">
        <f t="shared" ca="1" si="3"/>
        <v>Clean elevators regularly</v>
      </c>
      <c r="K13" s="157"/>
      <c r="L13" s="157" t="str">
        <f>IF(AND(S13=TRUE,C13="Systemwide"),A13,"")</f>
        <v>Revisit bicycles on escalators policy</v>
      </c>
      <c r="M13" s="157">
        <f t="shared" si="4"/>
        <v>13</v>
      </c>
      <c r="N13" s="157">
        <f t="shared" si="5"/>
        <v>1</v>
      </c>
      <c r="O13" s="157" t="e">
        <f t="shared" si="6"/>
        <v>#N/A</v>
      </c>
      <c r="P13" s="157" t="str">
        <f t="shared" ca="1" si="7"/>
        <v/>
      </c>
      <c r="Q13" s="157"/>
      <c r="R13" s="157"/>
      <c r="S13" s="158" t="b">
        <v>1</v>
      </c>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row>
    <row r="14" spans="1:79" x14ac:dyDescent="0.25">
      <c r="A14" s="240" t="s">
        <v>127</v>
      </c>
      <c r="B14" s="238"/>
      <c r="C14" s="239" t="s">
        <v>188</v>
      </c>
      <c r="D14" s="157"/>
      <c r="E14" s="157"/>
      <c r="F14" s="157" t="str">
        <f>IF(AND(S14=TRUE,C14="Station"),A14,"")</f>
        <v>Clean elevators regularly</v>
      </c>
      <c r="G14" s="157">
        <f t="shared" si="0"/>
        <v>14</v>
      </c>
      <c r="H14" s="157">
        <f t="shared" si="1"/>
        <v>4</v>
      </c>
      <c r="I14" s="157">
        <f t="shared" si="2"/>
        <v>8</v>
      </c>
      <c r="J14" s="157" t="str">
        <f t="shared" ca="1" si="3"/>
        <v>Install additional ADA-accessible fare gates</v>
      </c>
      <c r="K14" s="157"/>
      <c r="L14" s="157" t="str">
        <f>IF(AND(S14=TRUE,C14="Systemwide"),A14,"")</f>
        <v/>
      </c>
      <c r="M14" s="157" t="str">
        <f t="shared" si="4"/>
        <v/>
      </c>
      <c r="N14" s="157" t="str">
        <f t="shared" si="5"/>
        <v/>
      </c>
      <c r="O14" s="157" t="e">
        <f t="shared" si="6"/>
        <v>#N/A</v>
      </c>
      <c r="P14" s="157" t="str">
        <f t="shared" ca="1" si="7"/>
        <v/>
      </c>
      <c r="Q14" s="157"/>
      <c r="R14" s="157"/>
      <c r="S14" s="158" t="b">
        <v>1</v>
      </c>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row>
    <row r="15" spans="1:79" x14ac:dyDescent="0.25">
      <c r="A15" s="168"/>
      <c r="B15" s="166"/>
      <c r="C15" s="169"/>
      <c r="D15" s="157"/>
      <c r="E15" s="157"/>
      <c r="F15" s="157"/>
      <c r="G15" s="157" t="str">
        <f t="shared" si="0"/>
        <v/>
      </c>
      <c r="H15" s="157" t="str">
        <f t="shared" si="1"/>
        <v/>
      </c>
      <c r="I15" s="157">
        <f t="shared" si="2"/>
        <v>11</v>
      </c>
      <c r="J15" s="157" t="str">
        <f t="shared" ca="1" si="3"/>
        <v>Install ADA-accessible fare gates adjacent to elevators</v>
      </c>
      <c r="K15" s="157"/>
      <c r="L15" s="157"/>
      <c r="M15" s="157" t="str">
        <f t="shared" si="4"/>
        <v/>
      </c>
      <c r="N15" s="157" t="str">
        <f t="shared" si="5"/>
        <v/>
      </c>
      <c r="O15" s="157" t="e">
        <f t="shared" si="6"/>
        <v>#N/A</v>
      </c>
      <c r="P15" s="157" t="str">
        <f t="shared" ca="1" si="7"/>
        <v/>
      </c>
      <c r="Q15" s="157"/>
      <c r="R15" s="157"/>
      <c r="S15" s="158" t="b">
        <v>1</v>
      </c>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row>
    <row r="16" spans="1:79" ht="16.5" x14ac:dyDescent="0.25">
      <c r="A16" s="640" t="s">
        <v>129</v>
      </c>
      <c r="B16" s="641"/>
      <c r="C16" s="642"/>
      <c r="D16" s="157"/>
      <c r="E16" s="157"/>
      <c r="F16" s="157"/>
      <c r="G16" s="157" t="str">
        <f t="shared" si="0"/>
        <v/>
      </c>
      <c r="H16" s="157" t="str">
        <f t="shared" si="1"/>
        <v/>
      </c>
      <c r="I16" s="157" t="e">
        <f t="shared" si="2"/>
        <v>#N/A</v>
      </c>
      <c r="J16" s="157" t="str">
        <f t="shared" ca="1" si="3"/>
        <v/>
      </c>
      <c r="K16" s="157"/>
      <c r="L16" s="157"/>
      <c r="M16" s="157" t="str">
        <f t="shared" si="4"/>
        <v/>
      </c>
      <c r="N16" s="157" t="str">
        <f t="shared" si="5"/>
        <v/>
      </c>
      <c r="O16" s="157" t="e">
        <f t="shared" si="6"/>
        <v>#N/A</v>
      </c>
      <c r="P16" s="157" t="str">
        <f t="shared" ca="1" si="7"/>
        <v/>
      </c>
      <c r="Q16" s="157"/>
      <c r="R16" s="157"/>
      <c r="S16" s="158"/>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row>
    <row r="17" spans="1:79" x14ac:dyDescent="0.25">
      <c r="A17" s="240" t="s">
        <v>306</v>
      </c>
      <c r="B17" s="243"/>
      <c r="C17" s="239" t="s">
        <v>188</v>
      </c>
      <c r="D17" s="157"/>
      <c r="E17" s="157"/>
      <c r="F17" s="157" t="str">
        <f>IF(AND(S17=TRUE,C17="Station"),A17,"")</f>
        <v>Install additional ADA-accessible fare gates</v>
      </c>
      <c r="G17" s="157">
        <f t="shared" si="0"/>
        <v>17</v>
      </c>
      <c r="H17" s="157">
        <f t="shared" si="1"/>
        <v>5</v>
      </c>
      <c r="I17" s="157" t="e">
        <f t="shared" si="2"/>
        <v>#N/A</v>
      </c>
      <c r="J17" s="157" t="str">
        <f t="shared" ca="1" si="3"/>
        <v/>
      </c>
      <c r="K17" s="157"/>
      <c r="L17" s="157" t="str">
        <f>IF(AND(S17=TRUE,C17="Systemwide"),A17,"")</f>
        <v/>
      </c>
      <c r="M17" s="157" t="str">
        <f t="shared" si="4"/>
        <v/>
      </c>
      <c r="N17" s="157" t="str">
        <f t="shared" si="5"/>
        <v/>
      </c>
      <c r="O17" s="157" t="e">
        <f t="shared" si="6"/>
        <v>#N/A</v>
      </c>
      <c r="P17" s="157" t="str">
        <f t="shared" ca="1" si="7"/>
        <v/>
      </c>
      <c r="Q17" s="157"/>
      <c r="R17" s="157"/>
      <c r="S17" s="158" t="b">
        <v>1</v>
      </c>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row>
    <row r="18" spans="1:79" x14ac:dyDescent="0.25">
      <c r="A18" s="168"/>
      <c r="B18" s="241"/>
      <c r="C18" s="242"/>
      <c r="D18" s="157"/>
      <c r="E18" s="157"/>
      <c r="F18" s="157"/>
      <c r="G18" s="157" t="str">
        <f t="shared" si="0"/>
        <v/>
      </c>
      <c r="H18" s="157" t="str">
        <f t="shared" si="1"/>
        <v/>
      </c>
      <c r="I18" s="157" t="e">
        <f t="shared" si="2"/>
        <v>#N/A</v>
      </c>
      <c r="J18" s="157" t="str">
        <f t="shared" ca="1" si="3"/>
        <v/>
      </c>
      <c r="K18" s="157"/>
      <c r="L18" s="157"/>
      <c r="M18" s="157" t="str">
        <f t="shared" si="4"/>
        <v/>
      </c>
      <c r="N18" s="157" t="str">
        <f t="shared" si="5"/>
        <v/>
      </c>
      <c r="O18" s="157" t="e">
        <f t="shared" si="6"/>
        <v>#N/A</v>
      </c>
      <c r="P18" s="157" t="str">
        <f t="shared" ca="1" si="7"/>
        <v/>
      </c>
      <c r="Q18" s="157"/>
      <c r="R18" s="157"/>
      <c r="S18" s="158"/>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row>
    <row r="19" spans="1:79" ht="16.5" x14ac:dyDescent="0.25">
      <c r="A19" s="640" t="s">
        <v>128</v>
      </c>
      <c r="B19" s="641"/>
      <c r="C19" s="642"/>
      <c r="D19" s="157"/>
      <c r="E19" s="157"/>
      <c r="F19" s="157"/>
      <c r="G19" s="157" t="str">
        <f t="shared" si="0"/>
        <v/>
      </c>
      <c r="H19" s="157" t="str">
        <f t="shared" si="1"/>
        <v/>
      </c>
      <c r="I19" s="157" t="e">
        <f t="shared" si="2"/>
        <v>#N/A</v>
      </c>
      <c r="J19" s="157" t="str">
        <f t="shared" ca="1" si="3"/>
        <v/>
      </c>
      <c r="K19" s="157"/>
      <c r="L19" s="157"/>
      <c r="M19" s="157" t="str">
        <f t="shared" si="4"/>
        <v/>
      </c>
      <c r="N19" s="157" t="str">
        <f t="shared" si="5"/>
        <v/>
      </c>
      <c r="O19" s="157" t="e">
        <f t="shared" si="6"/>
        <v>#N/A</v>
      </c>
      <c r="P19" s="157" t="str">
        <f t="shared" ca="1" si="7"/>
        <v/>
      </c>
      <c r="Q19" s="157"/>
      <c r="R19" s="157"/>
      <c r="S19" s="158"/>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row>
    <row r="20" spans="1:79" x14ac:dyDescent="0.25">
      <c r="A20" s="237" t="s">
        <v>307</v>
      </c>
      <c r="B20" s="243"/>
      <c r="C20" s="239" t="s">
        <v>188</v>
      </c>
      <c r="D20" s="157"/>
      <c r="E20" s="157"/>
      <c r="F20" s="157" t="str">
        <f>IF(AND(S20=TRUE,C20="Station"),A20,"")</f>
        <v>Install ADA-accessible fare gates adjacent to elevators</v>
      </c>
      <c r="G20" s="157">
        <f t="shared" si="0"/>
        <v>20</v>
      </c>
      <c r="H20" s="157">
        <f t="shared" si="1"/>
        <v>6</v>
      </c>
      <c r="I20" s="157" t="e">
        <f t="shared" si="2"/>
        <v>#N/A</v>
      </c>
      <c r="J20" s="157" t="str">
        <f t="shared" ca="1" si="3"/>
        <v/>
      </c>
      <c r="K20" s="157"/>
      <c r="L20" s="157" t="str">
        <f>IF(AND(S20=TRUE,C20="Systemwide"),A20,"")</f>
        <v/>
      </c>
      <c r="M20" s="157" t="str">
        <f t="shared" si="4"/>
        <v/>
      </c>
      <c r="N20" s="157" t="str">
        <f t="shared" si="5"/>
        <v/>
      </c>
      <c r="O20" s="157" t="e">
        <f t="shared" si="6"/>
        <v>#N/A</v>
      </c>
      <c r="P20" s="157" t="str">
        <f t="shared" ca="1" si="7"/>
        <v/>
      </c>
      <c r="Q20" s="157"/>
      <c r="R20" s="157"/>
      <c r="S20" s="158" t="b">
        <v>1</v>
      </c>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row>
    <row r="21" spans="1:79" x14ac:dyDescent="0.25">
      <c r="A21" s="244"/>
      <c r="B21" s="166"/>
      <c r="C21" s="245"/>
      <c r="D21" s="157"/>
      <c r="E21" s="157"/>
      <c r="F21" s="157"/>
      <c r="G21" s="157"/>
      <c r="H21" s="157"/>
      <c r="I21" s="157"/>
      <c r="J21" s="157"/>
      <c r="K21" s="157"/>
      <c r="L21" s="157"/>
      <c r="M21" s="157"/>
      <c r="N21" s="157"/>
      <c r="O21" s="157"/>
      <c r="P21" s="157"/>
      <c r="Q21" s="157"/>
      <c r="R21" s="157"/>
      <c r="S21" s="158"/>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row>
    <row r="22" spans="1:79" x14ac:dyDescent="0.25">
      <c r="A22" s="244"/>
      <c r="B22" s="166"/>
      <c r="C22" s="245"/>
      <c r="D22" s="157"/>
      <c r="E22" s="157"/>
      <c r="F22" s="157"/>
      <c r="G22" s="157"/>
      <c r="H22" s="157"/>
      <c r="I22" s="157"/>
      <c r="J22" s="157"/>
      <c r="K22" s="157"/>
      <c r="L22" s="157"/>
      <c r="M22" s="157"/>
      <c r="N22" s="157"/>
      <c r="O22" s="157"/>
      <c r="P22" s="157"/>
      <c r="Q22" s="157"/>
      <c r="R22" s="157"/>
      <c r="S22" s="158"/>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row>
    <row r="23" spans="1:79" ht="23.25" x14ac:dyDescent="0.25">
      <c r="A23" s="643" t="s">
        <v>267</v>
      </c>
      <c r="B23" s="644"/>
      <c r="C23" s="645"/>
      <c r="D23" s="166"/>
      <c r="E23" s="166"/>
      <c r="F23" s="166"/>
      <c r="G23" s="166"/>
      <c r="H23" s="166"/>
      <c r="I23" s="166"/>
      <c r="J23" s="166"/>
      <c r="K23" s="166"/>
      <c r="L23" s="167"/>
      <c r="M23" s="167"/>
      <c r="N23" s="167"/>
      <c r="O23" s="167"/>
      <c r="P23" s="167"/>
      <c r="Q23" s="167"/>
      <c r="R23" s="167"/>
      <c r="S23" s="167"/>
      <c r="T23" s="168"/>
      <c r="U23" s="246"/>
      <c r="V23" s="247"/>
      <c r="W23" s="167"/>
      <c r="X23" s="167"/>
      <c r="Y23" s="167"/>
      <c r="Z23" s="167"/>
      <c r="AA23" s="167"/>
      <c r="AB23" s="167"/>
      <c r="AC23" s="167"/>
      <c r="AD23" s="167"/>
      <c r="AE23" s="167"/>
      <c r="AF23" s="167"/>
      <c r="AG23" s="167"/>
      <c r="AH23" s="167"/>
      <c r="AI23" s="167"/>
      <c r="AJ23" s="167"/>
      <c r="AK23" s="167"/>
      <c r="AL23" s="167"/>
      <c r="AM23" s="168"/>
      <c r="AN23" s="166"/>
      <c r="AO23" s="166"/>
      <c r="AP23" s="146"/>
      <c r="AQ23" s="146"/>
      <c r="AR23" s="146"/>
      <c r="AS23" s="146"/>
      <c r="AT23" s="146"/>
      <c r="AU23" s="146"/>
      <c r="AV23" s="146"/>
      <c r="AW23" s="146"/>
      <c r="AX23" s="146"/>
      <c r="AY23" s="146"/>
      <c r="AZ23" s="146"/>
      <c r="BA23" s="146"/>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row>
    <row r="24" spans="1:79" x14ac:dyDescent="0.25">
      <c r="A24" s="234" t="s">
        <v>125</v>
      </c>
      <c r="B24" s="235" t="s">
        <v>130</v>
      </c>
      <c r="C24" s="236" t="s">
        <v>187</v>
      </c>
      <c r="D24" s="166"/>
      <c r="E24" s="166"/>
      <c r="F24" s="166"/>
      <c r="G24" s="166"/>
      <c r="H24" s="166"/>
      <c r="I24" s="166"/>
      <c r="J24" s="166"/>
      <c r="K24" s="166"/>
      <c r="L24" s="167"/>
      <c r="M24" s="167"/>
      <c r="N24" s="167"/>
      <c r="O24" s="167"/>
      <c r="P24" s="167"/>
      <c r="Q24" s="167"/>
      <c r="R24" s="167"/>
      <c r="S24" s="167"/>
      <c r="T24" s="168"/>
      <c r="U24" s="246"/>
      <c r="V24" s="247"/>
      <c r="W24" s="167"/>
      <c r="X24" s="167"/>
      <c r="Y24" s="167"/>
      <c r="Z24" s="167"/>
      <c r="AA24" s="167"/>
      <c r="AB24" s="167"/>
      <c r="AC24" s="167"/>
      <c r="AD24" s="167"/>
      <c r="AE24" s="167"/>
      <c r="AF24" s="167"/>
      <c r="AG24" s="167"/>
      <c r="AH24" s="167"/>
      <c r="AI24" s="167"/>
      <c r="AJ24" s="167"/>
      <c r="AK24" s="167"/>
      <c r="AL24" s="167"/>
      <c r="AM24" s="168"/>
      <c r="AN24" s="166"/>
      <c r="AO24" s="166"/>
      <c r="AP24" s="146"/>
      <c r="AQ24" s="146"/>
      <c r="AR24" s="146"/>
      <c r="AS24" s="146"/>
      <c r="AT24" s="146"/>
      <c r="AU24" s="146"/>
      <c r="AV24" s="146"/>
      <c r="AW24" s="146"/>
      <c r="AX24" s="146"/>
      <c r="AY24" s="146"/>
      <c r="AZ24" s="146"/>
      <c r="BA24" s="146"/>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row>
    <row r="25" spans="1:79" ht="16.5" x14ac:dyDescent="0.25">
      <c r="A25" s="640" t="s">
        <v>126</v>
      </c>
      <c r="B25" s="641"/>
      <c r="C25" s="642"/>
      <c r="D25" s="166"/>
      <c r="E25" s="166"/>
      <c r="F25" s="157" t="s">
        <v>244</v>
      </c>
      <c r="G25" s="157" t="s">
        <v>246</v>
      </c>
      <c r="H25" s="157" t="s">
        <v>247</v>
      </c>
      <c r="I25" s="157" t="s">
        <v>248</v>
      </c>
      <c r="J25" s="157" t="s">
        <v>249</v>
      </c>
      <c r="K25" s="157"/>
      <c r="L25" s="157" t="s">
        <v>245</v>
      </c>
      <c r="M25" s="157" t="s">
        <v>251</v>
      </c>
      <c r="N25" s="157" t="s">
        <v>250</v>
      </c>
      <c r="O25" s="157" t="s">
        <v>253</v>
      </c>
      <c r="P25" s="157" t="s">
        <v>252</v>
      </c>
      <c r="Q25" s="158"/>
      <c r="R25" s="158"/>
      <c r="S25" s="158"/>
      <c r="T25" s="168"/>
      <c r="U25" s="246"/>
      <c r="V25" s="247"/>
      <c r="W25" s="167"/>
      <c r="X25" s="167"/>
      <c r="Y25" s="167"/>
      <c r="Z25" s="167"/>
      <c r="AA25" s="167"/>
      <c r="AB25" s="167"/>
      <c r="AC25" s="167"/>
      <c r="AD25" s="167"/>
      <c r="AE25" s="167"/>
      <c r="AF25" s="167"/>
      <c r="AG25" s="167"/>
      <c r="AH25" s="167"/>
      <c r="AI25" s="167"/>
      <c r="AJ25" s="167"/>
      <c r="AK25" s="167"/>
      <c r="AL25" s="167"/>
      <c r="AM25" s="168"/>
      <c r="AN25" s="166"/>
      <c r="AO25" s="166"/>
      <c r="AP25" s="146"/>
      <c r="AQ25" s="146"/>
      <c r="AR25" s="146"/>
      <c r="AS25" s="146"/>
      <c r="AT25" s="146"/>
      <c r="AU25" s="146"/>
      <c r="AV25" s="146"/>
      <c r="AW25" s="146"/>
      <c r="AX25" s="146"/>
      <c r="AY25" s="146"/>
      <c r="AZ25" s="146"/>
      <c r="BA25" s="146"/>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row>
    <row r="26" spans="1:79" x14ac:dyDescent="0.25">
      <c r="A26" s="237" t="s">
        <v>223</v>
      </c>
      <c r="B26" s="238"/>
      <c r="C26" s="239" t="s">
        <v>188</v>
      </c>
      <c r="D26" s="166"/>
      <c r="E26" s="166"/>
      <c r="F26" s="157" t="str">
        <f>IF(AND(S26=TRUE,C26="Station"),A26,"")</f>
        <v>Provide adequate bicycle parking of each type</v>
      </c>
      <c r="G26" s="157">
        <f>IF(F26="","",ROW())</f>
        <v>26</v>
      </c>
      <c r="H26" s="157">
        <f t="shared" ref="H26:H33" si="8">IF(G26="","",RANK(G26,G$26:G$33,-1))</f>
        <v>1</v>
      </c>
      <c r="I26" s="157">
        <f>MATCH(ROW()-25,H$26:H$33,0)</f>
        <v>1</v>
      </c>
      <c r="J26" s="157" t="str">
        <f t="shared" ref="J26:J33" ca="1" si="9">IFERROR(OFFSET(F$26,-1+I26,0),"")</f>
        <v>Provide adequate bicycle parking of each type</v>
      </c>
      <c r="K26" s="157"/>
      <c r="L26" s="157" t="str">
        <f>IF(AND(S26=TRUE,C26="Systemwide"),A26,"")</f>
        <v/>
      </c>
      <c r="M26" s="157" t="str">
        <f>IF(L26="","",ROW())</f>
        <v/>
      </c>
      <c r="N26" s="157" t="str">
        <f t="shared" ref="N26:N33" si="10">IF(M26="","",RANK(M26,M$26:M$33,-1))</f>
        <v/>
      </c>
      <c r="O26" s="157" t="e">
        <f>MATCH(ROW()-25,N$26:N$33,0)</f>
        <v>#N/A</v>
      </c>
      <c r="P26" s="157" t="str">
        <f t="shared" ref="P26:P33" ca="1" si="11">IFERROR(OFFSET(L$26,-1+O26,0),"")</f>
        <v/>
      </c>
      <c r="Q26" s="158"/>
      <c r="R26" s="158"/>
      <c r="S26" s="158" t="b">
        <v>1</v>
      </c>
      <c r="T26" s="168"/>
      <c r="U26" s="246"/>
      <c r="V26" s="247"/>
      <c r="W26" s="167"/>
      <c r="X26" s="167"/>
      <c r="Y26" s="167"/>
      <c r="Z26" s="167"/>
      <c r="AA26" s="167"/>
      <c r="AB26" s="167"/>
      <c r="AC26" s="167"/>
      <c r="AD26" s="167"/>
      <c r="AE26" s="167"/>
      <c r="AF26" s="167"/>
      <c r="AG26" s="167"/>
      <c r="AH26" s="167"/>
      <c r="AI26" s="167"/>
      <c r="AJ26" s="167"/>
      <c r="AK26" s="167"/>
      <c r="AL26" s="167"/>
      <c r="AM26" s="168"/>
      <c r="AN26" s="166"/>
      <c r="AO26" s="166"/>
      <c r="AP26" s="146"/>
      <c r="AQ26" s="146"/>
      <c r="AR26" s="146"/>
      <c r="AS26" s="146"/>
      <c r="AT26" s="146"/>
      <c r="AU26" s="146"/>
      <c r="AV26" s="146"/>
      <c r="AW26" s="146"/>
      <c r="AX26" s="146"/>
      <c r="AY26" s="146"/>
      <c r="AZ26" s="146"/>
      <c r="BA26" s="146"/>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row>
    <row r="27" spans="1:79" x14ac:dyDescent="0.25">
      <c r="A27" s="237" t="s">
        <v>131</v>
      </c>
      <c r="B27" s="238"/>
      <c r="C27" s="239" t="s">
        <v>188</v>
      </c>
      <c r="D27" s="166"/>
      <c r="E27" s="166"/>
      <c r="F27" s="157" t="str">
        <f>IF(AND(S27=TRUE,C27="Station"),A27,"")</f>
        <v>Light all bike parking areas</v>
      </c>
      <c r="G27" s="157">
        <f t="shared" ref="G27:G33" si="12">IF(F27="","",ROW())</f>
        <v>27</v>
      </c>
      <c r="H27" s="157">
        <f t="shared" si="8"/>
        <v>2</v>
      </c>
      <c r="I27" s="157">
        <f t="shared" ref="I27:I33" si="13">MATCH(ROW()-25,H$26:H$33,0)</f>
        <v>2</v>
      </c>
      <c r="J27" s="157" t="str">
        <f t="shared" ca="1" si="9"/>
        <v>Light all bike parking areas</v>
      </c>
      <c r="K27" s="157"/>
      <c r="L27" s="157" t="str">
        <f>IF(AND(S27=TRUE,C27="Systemwide"),A27,"")</f>
        <v/>
      </c>
      <c r="M27" s="157" t="str">
        <f t="shared" ref="M27:M33" si="14">IF(L27="","",ROW())</f>
        <v/>
      </c>
      <c r="N27" s="157" t="str">
        <f t="shared" si="10"/>
        <v/>
      </c>
      <c r="O27" s="157" t="e">
        <f t="shared" ref="O27:O33" si="15">MATCH(ROW()-25,N$26:N$33,0)</f>
        <v>#N/A</v>
      </c>
      <c r="P27" s="157" t="str">
        <f t="shared" ca="1" si="11"/>
        <v/>
      </c>
      <c r="Q27" s="158"/>
      <c r="R27" s="158"/>
      <c r="S27" s="158" t="b">
        <v>1</v>
      </c>
      <c r="T27" s="168"/>
      <c r="U27" s="246"/>
      <c r="V27" s="247"/>
      <c r="W27" s="167"/>
      <c r="X27" s="167"/>
      <c r="Y27" s="167"/>
      <c r="Z27" s="167"/>
      <c r="AA27" s="167"/>
      <c r="AB27" s="167"/>
      <c r="AC27" s="167"/>
      <c r="AD27" s="167"/>
      <c r="AE27" s="167"/>
      <c r="AF27" s="167"/>
      <c r="AG27" s="167"/>
      <c r="AH27" s="167"/>
      <c r="AI27" s="167"/>
      <c r="AJ27" s="167"/>
      <c r="AK27" s="167"/>
      <c r="AL27" s="167"/>
      <c r="AM27" s="168"/>
      <c r="AN27" s="166"/>
      <c r="AO27" s="166"/>
      <c r="AP27" s="146"/>
      <c r="AQ27" s="146"/>
      <c r="AR27" s="146"/>
      <c r="AS27" s="146"/>
      <c r="AT27" s="146"/>
      <c r="AU27" s="146"/>
      <c r="AV27" s="146"/>
      <c r="AW27" s="146"/>
      <c r="AX27" s="146"/>
      <c r="AY27" s="146"/>
      <c r="AZ27" s="146"/>
      <c r="BA27" s="146"/>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row>
    <row r="28" spans="1:79" x14ac:dyDescent="0.25">
      <c r="A28" s="237" t="s">
        <v>224</v>
      </c>
      <c r="B28" s="238"/>
      <c r="C28" s="239" t="s">
        <v>188</v>
      </c>
      <c r="D28" s="166"/>
      <c r="E28" s="166"/>
      <c r="F28" s="157" t="str">
        <f>IF(AND(S28=TRUE,C28="Station"),A28,"")</f>
        <v>Maintain bicycle facilities more frequently</v>
      </c>
      <c r="G28" s="157">
        <f t="shared" si="12"/>
        <v>28</v>
      </c>
      <c r="H28" s="157">
        <f t="shared" si="8"/>
        <v>3</v>
      </c>
      <c r="I28" s="157">
        <f t="shared" si="13"/>
        <v>3</v>
      </c>
      <c r="J28" s="157" t="str">
        <f t="shared" ca="1" si="9"/>
        <v>Maintain bicycle facilities more frequently</v>
      </c>
      <c r="K28" s="157"/>
      <c r="L28" s="157" t="str">
        <f>IF(AND(S28=TRUE,C28="Systemwide"),A28,"")</f>
        <v/>
      </c>
      <c r="M28" s="157" t="str">
        <f t="shared" si="14"/>
        <v/>
      </c>
      <c r="N28" s="157" t="str">
        <f t="shared" si="10"/>
        <v/>
      </c>
      <c r="O28" s="157" t="e">
        <f t="shared" si="15"/>
        <v>#N/A</v>
      </c>
      <c r="P28" s="157" t="str">
        <f t="shared" ca="1" si="11"/>
        <v/>
      </c>
      <c r="Q28" s="158"/>
      <c r="R28" s="158"/>
      <c r="S28" s="158" t="b">
        <v>1</v>
      </c>
      <c r="T28" s="168"/>
      <c r="U28" s="246"/>
      <c r="V28" s="247"/>
      <c r="W28" s="167"/>
      <c r="X28" s="167"/>
      <c r="Y28" s="167"/>
      <c r="Z28" s="167"/>
      <c r="AA28" s="167"/>
      <c r="AB28" s="167"/>
      <c r="AC28" s="167"/>
      <c r="AD28" s="167"/>
      <c r="AE28" s="167"/>
      <c r="AF28" s="167"/>
      <c r="AG28" s="167"/>
      <c r="AH28" s="167"/>
      <c r="AI28" s="167"/>
      <c r="AJ28" s="167"/>
      <c r="AK28" s="167"/>
      <c r="AL28" s="167"/>
      <c r="AM28" s="168"/>
      <c r="AN28" s="166"/>
      <c r="AO28" s="166"/>
      <c r="AP28" s="146"/>
      <c r="AQ28" s="146"/>
      <c r="AR28" s="146"/>
      <c r="AS28" s="146"/>
      <c r="AT28" s="146"/>
      <c r="AU28" s="146"/>
      <c r="AV28" s="146"/>
      <c r="AW28" s="146"/>
      <c r="AX28" s="146"/>
      <c r="AY28" s="146"/>
      <c r="AZ28" s="146"/>
      <c r="BA28" s="146"/>
      <c r="BF28" s="159"/>
      <c r="BG28" s="159"/>
      <c r="BH28" s="159"/>
      <c r="BI28" s="159"/>
      <c r="BJ28" s="159"/>
      <c r="BK28" s="159"/>
      <c r="BL28" s="159"/>
      <c r="BM28" s="159"/>
      <c r="BN28" s="159"/>
      <c r="BO28" s="159"/>
      <c r="BP28" s="159"/>
      <c r="BQ28" s="159"/>
      <c r="BR28" s="159"/>
      <c r="BS28" s="159"/>
      <c r="BT28" s="159"/>
      <c r="BU28" s="159"/>
      <c r="BV28" s="159"/>
      <c r="BW28" s="159"/>
      <c r="BX28" s="159"/>
      <c r="BY28" s="159"/>
      <c r="BZ28" s="159"/>
      <c r="CA28" s="159"/>
    </row>
    <row r="29" spans="1:79" x14ac:dyDescent="0.25">
      <c r="A29" s="237" t="s">
        <v>132</v>
      </c>
      <c r="B29" s="238"/>
      <c r="C29" s="239" t="s">
        <v>188</v>
      </c>
      <c r="D29" s="166"/>
      <c r="E29" s="166"/>
      <c r="F29" s="157" t="str">
        <f>IF(AND(S29=TRUE,C29="Station"),A29,"")</f>
        <v>Allow Clipper payment for bike parking</v>
      </c>
      <c r="G29" s="157">
        <f t="shared" si="12"/>
        <v>29</v>
      </c>
      <c r="H29" s="157">
        <f t="shared" si="8"/>
        <v>4</v>
      </c>
      <c r="I29" s="157">
        <f t="shared" si="13"/>
        <v>4</v>
      </c>
      <c r="J29" s="157" t="str">
        <f t="shared" ca="1" si="9"/>
        <v>Allow Clipper payment for bike parking</v>
      </c>
      <c r="K29" s="157"/>
      <c r="L29" s="157" t="str">
        <f>IF(AND(S29=TRUE,C29="Systemwide"),A29,"")</f>
        <v/>
      </c>
      <c r="M29" s="157" t="str">
        <f t="shared" si="14"/>
        <v/>
      </c>
      <c r="N29" s="157" t="str">
        <f t="shared" si="10"/>
        <v/>
      </c>
      <c r="O29" s="157" t="e">
        <f t="shared" si="15"/>
        <v>#N/A</v>
      </c>
      <c r="P29" s="157" t="str">
        <f t="shared" ca="1" si="11"/>
        <v/>
      </c>
      <c r="Q29" s="158"/>
      <c r="R29" s="158"/>
      <c r="S29" s="158" t="b">
        <v>1</v>
      </c>
      <c r="T29" s="168"/>
      <c r="U29" s="246"/>
      <c r="V29" s="247"/>
      <c r="W29" s="167"/>
      <c r="X29" s="167"/>
      <c r="Y29" s="167"/>
      <c r="Z29" s="167"/>
      <c r="AA29" s="167"/>
      <c r="AB29" s="167"/>
      <c r="AC29" s="167"/>
      <c r="AD29" s="167"/>
      <c r="AE29" s="167"/>
      <c r="AF29" s="167"/>
      <c r="AG29" s="167"/>
      <c r="AH29" s="167"/>
      <c r="AI29" s="167"/>
      <c r="AJ29" s="167"/>
      <c r="AK29" s="167"/>
      <c r="AL29" s="167"/>
      <c r="AM29" s="168"/>
      <c r="AN29" s="166"/>
      <c r="AO29" s="166"/>
      <c r="AP29" s="146"/>
      <c r="AQ29" s="146"/>
      <c r="AR29" s="146"/>
      <c r="AS29" s="146"/>
      <c r="AT29" s="146"/>
      <c r="AU29" s="146"/>
      <c r="AV29" s="146"/>
      <c r="AW29" s="146"/>
      <c r="AX29" s="146"/>
      <c r="AY29" s="146"/>
      <c r="AZ29" s="146"/>
      <c r="BA29" s="146"/>
      <c r="BF29" s="159"/>
      <c r="BG29" s="159"/>
      <c r="BH29" s="159"/>
      <c r="BI29" s="159"/>
      <c r="BJ29" s="159"/>
      <c r="BK29" s="159"/>
      <c r="BL29" s="159"/>
      <c r="BM29" s="159"/>
      <c r="BN29" s="159"/>
      <c r="BO29" s="159"/>
      <c r="BP29" s="159"/>
      <c r="BQ29" s="159"/>
      <c r="BR29" s="159"/>
      <c r="BS29" s="159"/>
      <c r="BT29" s="159"/>
      <c r="BU29" s="159"/>
      <c r="BV29" s="159"/>
      <c r="BW29" s="159"/>
      <c r="BX29" s="159"/>
      <c r="BY29" s="159"/>
      <c r="BZ29" s="159"/>
      <c r="CA29" s="159"/>
    </row>
    <row r="30" spans="1:79" x14ac:dyDescent="0.25">
      <c r="A30" s="168"/>
      <c r="B30" s="166"/>
      <c r="C30" s="169"/>
      <c r="D30" s="166"/>
      <c r="E30" s="166"/>
      <c r="F30" s="157" t="str">
        <f>IF(AND(S30=TRUE,C30="Station"),A30,"")</f>
        <v/>
      </c>
      <c r="G30" s="157" t="str">
        <f t="shared" si="12"/>
        <v/>
      </c>
      <c r="H30" s="157" t="str">
        <f t="shared" si="8"/>
        <v/>
      </c>
      <c r="I30" s="157">
        <f t="shared" si="13"/>
        <v>8</v>
      </c>
      <c r="J30" s="157" t="str">
        <f t="shared" ca="1" si="9"/>
        <v>Manage eLocker demand through price variation</v>
      </c>
      <c r="K30" s="157"/>
      <c r="L30" s="157" t="str">
        <f>IF(AND(S30=TRUE,C30="Systemwide"),A30,"")</f>
        <v/>
      </c>
      <c r="M30" s="157" t="str">
        <f t="shared" si="14"/>
        <v/>
      </c>
      <c r="N30" s="157" t="str">
        <f t="shared" si="10"/>
        <v/>
      </c>
      <c r="O30" s="157" t="e">
        <f t="shared" si="15"/>
        <v>#N/A</v>
      </c>
      <c r="P30" s="157" t="str">
        <f t="shared" ca="1" si="11"/>
        <v/>
      </c>
      <c r="Q30" s="158"/>
      <c r="R30" s="158"/>
      <c r="S30" s="158"/>
      <c r="T30" s="168"/>
      <c r="U30" s="246"/>
      <c r="V30" s="247"/>
      <c r="W30" s="167"/>
      <c r="X30" s="167"/>
      <c r="Y30" s="167"/>
      <c r="Z30" s="167"/>
      <c r="AA30" s="167"/>
      <c r="AB30" s="167"/>
      <c r="AC30" s="167"/>
      <c r="AD30" s="167"/>
      <c r="AE30" s="167"/>
      <c r="AF30" s="167"/>
      <c r="AG30" s="167"/>
      <c r="AH30" s="167"/>
      <c r="AI30" s="167"/>
      <c r="AJ30" s="167"/>
      <c r="AK30" s="167"/>
      <c r="AL30" s="167"/>
      <c r="AM30" s="168"/>
      <c r="AN30" s="166"/>
      <c r="AO30" s="166"/>
      <c r="AP30" s="146"/>
      <c r="AQ30" s="146"/>
      <c r="AR30" s="146"/>
      <c r="AS30" s="146"/>
      <c r="AT30" s="146"/>
      <c r="AU30" s="146"/>
      <c r="AV30" s="146"/>
      <c r="AW30" s="146"/>
      <c r="AX30" s="146"/>
      <c r="AY30" s="146"/>
      <c r="AZ30" s="146"/>
      <c r="BA30" s="146"/>
      <c r="BF30" s="159"/>
      <c r="BG30" s="159"/>
      <c r="BH30" s="159"/>
      <c r="BI30" s="159"/>
      <c r="BJ30" s="159"/>
      <c r="BK30" s="159"/>
      <c r="BL30" s="159"/>
      <c r="BM30" s="159"/>
      <c r="BN30" s="159"/>
      <c r="BO30" s="159"/>
      <c r="BP30" s="159"/>
      <c r="BQ30" s="159"/>
      <c r="BR30" s="159"/>
      <c r="BS30" s="159"/>
      <c r="BT30" s="159"/>
      <c r="BU30" s="159"/>
      <c r="BV30" s="159"/>
      <c r="BW30" s="159"/>
      <c r="BX30" s="159"/>
      <c r="BY30" s="159"/>
      <c r="BZ30" s="159"/>
      <c r="CA30" s="159"/>
    </row>
    <row r="31" spans="1:79" x14ac:dyDescent="0.25">
      <c r="A31" s="168"/>
      <c r="B31" s="166"/>
      <c r="C31" s="169"/>
      <c r="D31" s="166"/>
      <c r="E31" s="166"/>
      <c r="F31" s="157"/>
      <c r="G31" s="157" t="str">
        <f t="shared" si="12"/>
        <v/>
      </c>
      <c r="H31" s="157" t="str">
        <f t="shared" si="8"/>
        <v/>
      </c>
      <c r="I31" s="157" t="e">
        <f t="shared" si="13"/>
        <v>#N/A</v>
      </c>
      <c r="J31" s="157" t="str">
        <f t="shared" ca="1" si="9"/>
        <v/>
      </c>
      <c r="K31" s="157"/>
      <c r="L31" s="157"/>
      <c r="M31" s="157" t="str">
        <f t="shared" si="14"/>
        <v/>
      </c>
      <c r="N31" s="157" t="str">
        <f t="shared" si="10"/>
        <v/>
      </c>
      <c r="O31" s="157" t="e">
        <f t="shared" si="15"/>
        <v>#N/A</v>
      </c>
      <c r="P31" s="157" t="str">
        <f t="shared" ca="1" si="11"/>
        <v/>
      </c>
      <c r="Q31" s="158"/>
      <c r="R31" s="158"/>
      <c r="S31" s="158"/>
      <c r="T31" s="168"/>
      <c r="U31" s="246"/>
      <c r="V31" s="247"/>
      <c r="W31" s="167"/>
      <c r="X31" s="167"/>
      <c r="Y31" s="167"/>
      <c r="Z31" s="167"/>
      <c r="AA31" s="167"/>
      <c r="AB31" s="167"/>
      <c r="AC31" s="167"/>
      <c r="AD31" s="167"/>
      <c r="AE31" s="167"/>
      <c r="AF31" s="167"/>
      <c r="AG31" s="167"/>
      <c r="AH31" s="167"/>
      <c r="AI31" s="167"/>
      <c r="AJ31" s="167"/>
      <c r="AK31" s="167"/>
      <c r="AL31" s="167"/>
      <c r="AM31" s="168"/>
      <c r="AN31" s="166"/>
      <c r="AO31" s="166"/>
      <c r="AP31" s="146"/>
      <c r="AQ31" s="146"/>
      <c r="AR31" s="146"/>
      <c r="AS31" s="146"/>
      <c r="AT31" s="146"/>
      <c r="AU31" s="146"/>
      <c r="AV31" s="146"/>
      <c r="AW31" s="146"/>
      <c r="AX31" s="146"/>
      <c r="AY31" s="146"/>
      <c r="AZ31" s="146"/>
      <c r="BA31" s="146"/>
      <c r="BF31" s="159"/>
      <c r="BG31" s="159"/>
      <c r="BH31" s="159"/>
      <c r="BI31" s="159"/>
      <c r="BJ31" s="159"/>
      <c r="BK31" s="159"/>
      <c r="BL31" s="159"/>
      <c r="BM31" s="159"/>
      <c r="BN31" s="159"/>
      <c r="BO31" s="159"/>
      <c r="BP31" s="159"/>
      <c r="BQ31" s="159"/>
      <c r="BR31" s="159"/>
      <c r="BS31" s="159"/>
      <c r="BT31" s="159"/>
      <c r="BU31" s="159"/>
      <c r="BV31" s="159"/>
      <c r="BW31" s="159"/>
      <c r="BX31" s="159"/>
      <c r="BY31" s="159"/>
      <c r="BZ31" s="159"/>
      <c r="CA31" s="159"/>
    </row>
    <row r="32" spans="1:79" ht="16.5" x14ac:dyDescent="0.25">
      <c r="A32" s="640" t="s">
        <v>129</v>
      </c>
      <c r="B32" s="641"/>
      <c r="C32" s="642"/>
      <c r="D32" s="166"/>
      <c r="E32" s="166"/>
      <c r="F32" s="157"/>
      <c r="G32" s="157" t="str">
        <f t="shared" si="12"/>
        <v/>
      </c>
      <c r="H32" s="157" t="str">
        <f t="shared" si="8"/>
        <v/>
      </c>
      <c r="I32" s="157" t="e">
        <f t="shared" si="13"/>
        <v>#N/A</v>
      </c>
      <c r="J32" s="157" t="str">
        <f t="shared" ca="1" si="9"/>
        <v/>
      </c>
      <c r="K32" s="157"/>
      <c r="L32" s="157"/>
      <c r="M32" s="157" t="str">
        <f t="shared" si="14"/>
        <v/>
      </c>
      <c r="N32" s="157" t="str">
        <f t="shared" si="10"/>
        <v/>
      </c>
      <c r="O32" s="157" t="e">
        <f t="shared" si="15"/>
        <v>#N/A</v>
      </c>
      <c r="P32" s="157" t="str">
        <f t="shared" ca="1" si="11"/>
        <v/>
      </c>
      <c r="Q32" s="158"/>
      <c r="R32" s="158"/>
      <c r="S32" s="158"/>
      <c r="T32" s="168"/>
      <c r="U32" s="246"/>
      <c r="V32" s="247"/>
      <c r="W32" s="167"/>
      <c r="X32" s="167"/>
      <c r="Y32" s="167"/>
      <c r="Z32" s="167"/>
      <c r="AA32" s="167"/>
      <c r="AB32" s="167"/>
      <c r="AC32" s="167"/>
      <c r="AD32" s="167"/>
      <c r="AE32" s="167"/>
      <c r="AF32" s="167"/>
      <c r="AG32" s="167"/>
      <c r="AH32" s="167"/>
      <c r="AI32" s="167"/>
      <c r="AJ32" s="167"/>
      <c r="AK32" s="167"/>
      <c r="AL32" s="167"/>
      <c r="AM32" s="168"/>
      <c r="AN32" s="166"/>
      <c r="AO32" s="166"/>
      <c r="AP32" s="146"/>
      <c r="AQ32" s="146"/>
      <c r="AR32" s="146"/>
      <c r="AS32" s="146"/>
      <c r="AT32" s="146"/>
      <c r="AU32" s="146"/>
      <c r="AV32" s="146"/>
      <c r="AW32" s="146"/>
      <c r="AX32" s="146"/>
      <c r="AY32" s="146"/>
      <c r="AZ32" s="146"/>
      <c r="BA32" s="146"/>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row>
    <row r="33" spans="1:79" x14ac:dyDescent="0.25">
      <c r="A33" s="240" t="s">
        <v>225</v>
      </c>
      <c r="B33" s="243"/>
      <c r="C33" s="239" t="s">
        <v>188</v>
      </c>
      <c r="D33" s="166"/>
      <c r="E33" s="166"/>
      <c r="F33" s="157" t="str">
        <f>IF(AND(S33=TRUE,C33="Station"),A33,"")</f>
        <v>Manage eLocker demand through price variation</v>
      </c>
      <c r="G33" s="157">
        <f t="shared" si="12"/>
        <v>33</v>
      </c>
      <c r="H33" s="157">
        <f t="shared" si="8"/>
        <v>5</v>
      </c>
      <c r="I33" s="157" t="e">
        <f t="shared" si="13"/>
        <v>#N/A</v>
      </c>
      <c r="J33" s="157" t="str">
        <f t="shared" ca="1" si="9"/>
        <v/>
      </c>
      <c r="K33" s="157"/>
      <c r="L33" s="157" t="str">
        <f>IF(AND(S33=TRUE,C33="Systemwide"),A33,"")</f>
        <v/>
      </c>
      <c r="M33" s="157" t="str">
        <f t="shared" si="14"/>
        <v/>
      </c>
      <c r="N33" s="157" t="str">
        <f t="shared" si="10"/>
        <v/>
      </c>
      <c r="O33" s="157" t="e">
        <f t="shared" si="15"/>
        <v>#N/A</v>
      </c>
      <c r="P33" s="157" t="str">
        <f t="shared" ca="1" si="11"/>
        <v/>
      </c>
      <c r="Q33" s="158"/>
      <c r="R33" s="158"/>
      <c r="S33" s="158" t="b">
        <v>1</v>
      </c>
      <c r="T33" s="168"/>
      <c r="U33" s="246"/>
      <c r="V33" s="247"/>
      <c r="W33" s="167"/>
      <c r="X33" s="167"/>
      <c r="Y33" s="167"/>
      <c r="Z33" s="167"/>
      <c r="AA33" s="167"/>
      <c r="AB33" s="167"/>
      <c r="AC33" s="167"/>
      <c r="AD33" s="167"/>
      <c r="AE33" s="167"/>
      <c r="AF33" s="167"/>
      <c r="AG33" s="167"/>
      <c r="AH33" s="167"/>
      <c r="AI33" s="167"/>
      <c r="AJ33" s="167"/>
      <c r="AK33" s="167"/>
      <c r="AL33" s="167"/>
      <c r="AM33" s="168"/>
      <c r="AN33" s="166"/>
      <c r="AO33" s="166"/>
      <c r="AP33" s="146"/>
      <c r="AQ33" s="146"/>
      <c r="AR33" s="146"/>
      <c r="AS33" s="146"/>
      <c r="AT33" s="146"/>
      <c r="AU33" s="146"/>
      <c r="AV33" s="146"/>
      <c r="AW33" s="146"/>
      <c r="AX33" s="146"/>
      <c r="AY33" s="146"/>
      <c r="AZ33" s="146"/>
      <c r="BA33" s="146"/>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row>
    <row r="34" spans="1:79" x14ac:dyDescent="0.25">
      <c r="A34" s="168"/>
      <c r="B34" s="241"/>
      <c r="C34" s="242"/>
      <c r="D34" s="166"/>
      <c r="E34" s="166"/>
      <c r="F34" s="166"/>
      <c r="G34" s="166"/>
      <c r="H34" s="166"/>
      <c r="I34" s="166"/>
      <c r="J34" s="166"/>
      <c r="K34" s="166"/>
      <c r="L34" s="166"/>
      <c r="M34" s="166"/>
      <c r="N34" s="166"/>
      <c r="O34" s="166"/>
      <c r="P34" s="166"/>
      <c r="Q34" s="167"/>
      <c r="R34" s="167"/>
      <c r="S34" s="167"/>
      <c r="T34" s="168"/>
      <c r="U34" s="246"/>
      <c r="V34" s="247"/>
      <c r="W34" s="167"/>
      <c r="X34" s="167"/>
      <c r="Y34" s="167"/>
      <c r="Z34" s="167"/>
      <c r="AA34" s="167"/>
      <c r="AB34" s="167"/>
      <c r="AC34" s="167"/>
      <c r="AD34" s="167"/>
      <c r="AE34" s="167"/>
      <c r="AF34" s="167"/>
      <c r="AG34" s="167"/>
      <c r="AH34" s="167"/>
      <c r="AI34" s="167"/>
      <c r="AJ34" s="167"/>
      <c r="AK34" s="167"/>
      <c r="AL34" s="167"/>
      <c r="AM34" s="168"/>
      <c r="AN34" s="166"/>
      <c r="AO34" s="166"/>
      <c r="AP34" s="146"/>
      <c r="AQ34" s="146"/>
      <c r="AR34" s="146"/>
      <c r="AS34" s="146"/>
      <c r="AT34" s="146"/>
      <c r="AU34" s="146"/>
      <c r="AV34" s="146"/>
      <c r="AW34" s="146"/>
      <c r="AX34" s="146"/>
      <c r="AY34" s="146"/>
      <c r="AZ34" s="146"/>
      <c r="BA34" s="146"/>
      <c r="BF34" s="159"/>
      <c r="BG34" s="159"/>
      <c r="BH34" s="159"/>
      <c r="BI34" s="159"/>
      <c r="BJ34" s="159"/>
      <c r="BK34" s="159"/>
      <c r="BL34" s="159"/>
      <c r="BM34" s="159"/>
      <c r="BN34" s="159"/>
      <c r="BO34" s="159"/>
      <c r="BP34" s="159"/>
      <c r="BQ34" s="159"/>
      <c r="BR34" s="159"/>
      <c r="BS34" s="159"/>
      <c r="BT34" s="159"/>
      <c r="BU34" s="159"/>
      <c r="BV34" s="159"/>
      <c r="BW34" s="159"/>
      <c r="BX34" s="159"/>
      <c r="BY34" s="159"/>
      <c r="BZ34" s="159"/>
      <c r="CA34" s="159"/>
    </row>
    <row r="35" spans="1:79" ht="16.5" x14ac:dyDescent="0.25">
      <c r="A35" s="640" t="s">
        <v>128</v>
      </c>
      <c r="B35" s="641"/>
      <c r="C35" s="642"/>
      <c r="D35" s="166"/>
      <c r="E35" s="166"/>
      <c r="F35" s="166"/>
      <c r="G35" s="166"/>
      <c r="H35" s="166"/>
      <c r="I35" s="166"/>
      <c r="J35" s="166"/>
      <c r="K35" s="166"/>
      <c r="L35" s="166"/>
      <c r="M35" s="166"/>
      <c r="N35" s="166"/>
      <c r="O35" s="166"/>
      <c r="P35" s="166"/>
      <c r="Q35" s="167"/>
      <c r="R35" s="167"/>
      <c r="S35" s="167"/>
      <c r="T35" s="168"/>
      <c r="U35" s="246"/>
      <c r="V35" s="247"/>
      <c r="W35" s="167"/>
      <c r="X35" s="167"/>
      <c r="Y35" s="167"/>
      <c r="Z35" s="167"/>
      <c r="AA35" s="167"/>
      <c r="AB35" s="167"/>
      <c r="AC35" s="167"/>
      <c r="AD35" s="167"/>
      <c r="AE35" s="167"/>
      <c r="AF35" s="167"/>
      <c r="AG35" s="167"/>
      <c r="AH35" s="167"/>
      <c r="AI35" s="167"/>
      <c r="AJ35" s="167"/>
      <c r="AK35" s="167"/>
      <c r="AL35" s="167"/>
      <c r="AM35" s="168"/>
      <c r="AN35" s="166"/>
      <c r="AO35" s="166"/>
      <c r="AP35" s="146"/>
      <c r="AQ35" s="146"/>
      <c r="AR35" s="146"/>
      <c r="AS35" s="146"/>
      <c r="AT35" s="146"/>
      <c r="AU35" s="146"/>
      <c r="AV35" s="146"/>
      <c r="AW35" s="146"/>
      <c r="AX35" s="146"/>
      <c r="AY35" s="146"/>
      <c r="AZ35" s="146"/>
      <c r="BA35" s="146"/>
      <c r="BF35" s="159"/>
      <c r="BG35" s="159"/>
      <c r="BH35" s="159"/>
      <c r="BI35" s="159"/>
      <c r="BJ35" s="159"/>
      <c r="BK35" s="159"/>
      <c r="BL35" s="159"/>
      <c r="BM35" s="159"/>
      <c r="BN35" s="159"/>
      <c r="BO35" s="159"/>
      <c r="BP35" s="159"/>
      <c r="BQ35" s="159"/>
      <c r="BR35" s="159"/>
      <c r="BS35" s="159"/>
      <c r="BT35" s="159"/>
      <c r="BU35" s="159"/>
      <c r="BV35" s="159"/>
      <c r="BW35" s="159"/>
      <c r="BX35" s="159"/>
      <c r="BY35" s="159"/>
      <c r="BZ35" s="159"/>
      <c r="CA35" s="159"/>
    </row>
    <row r="36" spans="1:79" x14ac:dyDescent="0.25">
      <c r="A36" s="168"/>
      <c r="B36" s="241"/>
      <c r="C36" s="242"/>
      <c r="D36" s="167"/>
      <c r="E36" s="167"/>
      <c r="F36" s="167"/>
      <c r="G36" s="167"/>
      <c r="H36" s="167"/>
      <c r="I36" s="167"/>
      <c r="J36" s="167"/>
      <c r="K36" s="167"/>
      <c r="L36" s="167"/>
      <c r="M36" s="167"/>
      <c r="N36" s="167"/>
      <c r="O36" s="167"/>
      <c r="P36" s="167"/>
      <c r="Q36" s="167"/>
      <c r="R36" s="167"/>
      <c r="S36" s="167"/>
      <c r="T36" s="168"/>
      <c r="U36" s="246"/>
      <c r="V36" s="247"/>
      <c r="W36" s="167"/>
      <c r="X36" s="167"/>
      <c r="Y36" s="167"/>
      <c r="Z36" s="167"/>
      <c r="AA36" s="167"/>
      <c r="AB36" s="167"/>
      <c r="AC36" s="167"/>
      <c r="AD36" s="167"/>
      <c r="AE36" s="167"/>
      <c r="AF36" s="167"/>
      <c r="AG36" s="167"/>
      <c r="AH36" s="167"/>
      <c r="AI36" s="167"/>
      <c r="AJ36" s="167"/>
      <c r="AK36" s="167"/>
      <c r="AL36" s="167"/>
      <c r="AM36" s="168"/>
      <c r="AN36" s="166"/>
      <c r="AO36" s="166"/>
      <c r="AP36" s="146"/>
      <c r="AQ36" s="146"/>
      <c r="AR36" s="146"/>
      <c r="AS36" s="146"/>
      <c r="AT36" s="146"/>
      <c r="AU36" s="146"/>
      <c r="AV36" s="146"/>
      <c r="AW36" s="146"/>
      <c r="AX36" s="146"/>
      <c r="AY36" s="146"/>
      <c r="AZ36" s="146"/>
      <c r="BA36" s="146"/>
      <c r="BF36" s="159"/>
      <c r="BG36" s="159"/>
      <c r="BH36" s="159"/>
      <c r="BI36" s="159"/>
      <c r="BJ36" s="159"/>
      <c r="BK36" s="159"/>
      <c r="BL36" s="159"/>
      <c r="BM36" s="159"/>
      <c r="BN36" s="159"/>
      <c r="BO36" s="159"/>
      <c r="BP36" s="159"/>
      <c r="BQ36" s="159"/>
      <c r="BR36" s="159"/>
      <c r="BS36" s="159"/>
      <c r="BT36" s="159"/>
      <c r="BU36" s="159"/>
      <c r="BV36" s="159"/>
      <c r="BW36" s="159"/>
      <c r="BX36" s="159"/>
      <c r="BY36" s="159"/>
      <c r="BZ36" s="159"/>
      <c r="CA36" s="159"/>
    </row>
    <row r="37" spans="1:79" x14ac:dyDescent="0.25">
      <c r="A37" s="168"/>
      <c r="B37" s="166"/>
      <c r="C37" s="169"/>
      <c r="D37" s="167"/>
      <c r="E37" s="167"/>
      <c r="F37" s="167"/>
      <c r="G37" s="167"/>
      <c r="H37" s="167"/>
      <c r="I37" s="167"/>
      <c r="J37" s="167"/>
      <c r="K37" s="167"/>
      <c r="L37" s="167"/>
      <c r="M37" s="167"/>
      <c r="N37" s="167"/>
      <c r="O37" s="167"/>
      <c r="P37" s="167"/>
      <c r="Q37" s="167"/>
      <c r="R37" s="167"/>
      <c r="S37" s="167"/>
      <c r="T37" s="168"/>
      <c r="U37" s="246"/>
      <c r="V37" s="247"/>
      <c r="W37" s="167"/>
      <c r="X37" s="167"/>
      <c r="Y37" s="167"/>
      <c r="Z37" s="167"/>
      <c r="AA37" s="167"/>
      <c r="AB37" s="167"/>
      <c r="AC37" s="167"/>
      <c r="AD37" s="167"/>
      <c r="AE37" s="167"/>
      <c r="AF37" s="167"/>
      <c r="AG37" s="167"/>
      <c r="AH37" s="167"/>
      <c r="AI37" s="167"/>
      <c r="AJ37" s="167"/>
      <c r="AK37" s="167"/>
      <c r="AL37" s="167"/>
      <c r="AM37" s="168"/>
      <c r="AN37" s="166"/>
      <c r="AO37" s="166"/>
      <c r="AP37" s="146"/>
      <c r="AQ37" s="146"/>
      <c r="AR37" s="146"/>
      <c r="AS37" s="146"/>
      <c r="AT37" s="146"/>
      <c r="AU37" s="146"/>
      <c r="AV37" s="146"/>
      <c r="AW37" s="146"/>
      <c r="AX37" s="146"/>
      <c r="AY37" s="146"/>
      <c r="AZ37" s="146"/>
      <c r="BA37" s="146"/>
      <c r="BF37" s="159"/>
      <c r="BG37" s="159"/>
      <c r="BH37" s="159"/>
      <c r="BI37" s="159"/>
      <c r="BJ37" s="159"/>
      <c r="BK37" s="159"/>
      <c r="BL37" s="159"/>
      <c r="BM37" s="159"/>
      <c r="BN37" s="159"/>
      <c r="BO37" s="159"/>
      <c r="BP37" s="159"/>
      <c r="BQ37" s="159"/>
      <c r="BR37" s="159"/>
      <c r="BS37" s="159"/>
      <c r="BT37" s="159"/>
      <c r="BU37" s="159"/>
      <c r="BV37" s="159"/>
      <c r="BW37" s="159"/>
      <c r="BX37" s="159"/>
      <c r="BY37" s="159"/>
      <c r="BZ37" s="159"/>
      <c r="CA37" s="159"/>
    </row>
    <row r="38" spans="1:79" x14ac:dyDescent="0.25">
      <c r="A38" s="168"/>
      <c r="B38" s="246"/>
      <c r="C38" s="247"/>
      <c r="D38" s="167"/>
      <c r="E38" s="167"/>
      <c r="F38" s="167"/>
      <c r="G38" s="167"/>
      <c r="H38" s="167"/>
      <c r="I38" s="167"/>
      <c r="J38" s="167"/>
      <c r="K38" s="167"/>
      <c r="L38" s="167"/>
      <c r="M38" s="167"/>
      <c r="N38" s="167"/>
      <c r="O38" s="167"/>
      <c r="P38" s="167"/>
      <c r="Q38" s="167"/>
      <c r="R38" s="167"/>
      <c r="S38" s="167"/>
      <c r="T38" s="168"/>
      <c r="U38" s="246"/>
      <c r="V38" s="247"/>
      <c r="W38" s="167"/>
      <c r="X38" s="167"/>
      <c r="Y38" s="167"/>
      <c r="Z38" s="167"/>
      <c r="AA38" s="167"/>
      <c r="AB38" s="167"/>
      <c r="AC38" s="167"/>
      <c r="AD38" s="167"/>
      <c r="AE38" s="167"/>
      <c r="AF38" s="167"/>
      <c r="AG38" s="167"/>
      <c r="AH38" s="167"/>
      <c r="AI38" s="167"/>
      <c r="AJ38" s="167"/>
      <c r="AK38" s="167"/>
      <c r="AL38" s="167"/>
      <c r="AM38" s="168"/>
      <c r="AN38" s="166"/>
      <c r="AO38" s="166"/>
      <c r="AP38" s="146"/>
      <c r="AQ38" s="146"/>
      <c r="AR38" s="146"/>
      <c r="AS38" s="146"/>
      <c r="AT38" s="146"/>
      <c r="AU38" s="146"/>
      <c r="AV38" s="146"/>
      <c r="AW38" s="146"/>
      <c r="AX38" s="146"/>
      <c r="AY38" s="146"/>
      <c r="AZ38" s="146"/>
      <c r="BA38" s="146"/>
      <c r="BF38" s="159"/>
      <c r="BG38" s="159"/>
      <c r="BH38" s="159"/>
      <c r="BI38" s="159"/>
      <c r="BJ38" s="159"/>
      <c r="BK38" s="159"/>
      <c r="BL38" s="159"/>
      <c r="BM38" s="159"/>
      <c r="BN38" s="159"/>
      <c r="BO38" s="159"/>
      <c r="BP38" s="159"/>
      <c r="BQ38" s="159"/>
      <c r="BR38" s="159"/>
      <c r="BS38" s="159"/>
      <c r="BT38" s="159"/>
      <c r="BU38" s="159"/>
      <c r="BV38" s="159"/>
      <c r="BW38" s="159"/>
      <c r="BX38" s="159"/>
      <c r="BY38" s="159"/>
      <c r="BZ38" s="159"/>
      <c r="CA38" s="159"/>
    </row>
    <row r="39" spans="1:79" ht="23.25" x14ac:dyDescent="0.25">
      <c r="A39" s="664" t="s">
        <v>268</v>
      </c>
      <c r="B39" s="665"/>
      <c r="C39" s="666"/>
      <c r="D39" s="146"/>
      <c r="E39" s="146"/>
      <c r="F39" s="146"/>
      <c r="G39" s="146"/>
      <c r="H39" s="146"/>
      <c r="I39" s="146"/>
      <c r="J39" s="146"/>
      <c r="K39" s="146"/>
      <c r="L39" s="146"/>
      <c r="M39" s="146"/>
      <c r="N39" s="146"/>
      <c r="O39" s="146"/>
      <c r="P39" s="146"/>
      <c r="Q39" s="146"/>
      <c r="R39" s="146"/>
      <c r="T39" s="168"/>
      <c r="U39" s="246"/>
      <c r="V39" s="247"/>
      <c r="W39" s="167"/>
      <c r="X39" s="167"/>
      <c r="Y39" s="167"/>
      <c r="Z39" s="167"/>
      <c r="AA39" s="167"/>
      <c r="AB39" s="167"/>
      <c r="AC39" s="167"/>
      <c r="AD39" s="167"/>
      <c r="AE39" s="167"/>
      <c r="AF39" s="167"/>
      <c r="AG39" s="167"/>
      <c r="AH39" s="167"/>
      <c r="AI39" s="167"/>
      <c r="AJ39" s="167"/>
      <c r="AK39" s="167"/>
      <c r="AL39" s="167"/>
      <c r="AM39" s="168"/>
      <c r="AN39" s="166"/>
      <c r="AO39" s="166"/>
      <c r="AP39" s="146"/>
      <c r="AQ39" s="146"/>
      <c r="AR39" s="146"/>
      <c r="AS39" s="146"/>
      <c r="AT39" s="146"/>
      <c r="AU39" s="146"/>
      <c r="AV39" s="146"/>
      <c r="AW39" s="146"/>
      <c r="AX39" s="146"/>
      <c r="AY39" s="146"/>
      <c r="AZ39" s="146"/>
      <c r="BA39" s="146"/>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row>
    <row r="40" spans="1:79" x14ac:dyDescent="0.25">
      <c r="A40" s="234" t="s">
        <v>125</v>
      </c>
      <c r="B40" s="235" t="s">
        <v>130</v>
      </c>
      <c r="C40" s="236" t="s">
        <v>187</v>
      </c>
      <c r="D40" s="146"/>
      <c r="E40" s="146"/>
      <c r="F40" s="146"/>
      <c r="G40" s="146"/>
      <c r="H40" s="146"/>
      <c r="I40" s="146"/>
      <c r="J40" s="146"/>
      <c r="K40" s="146"/>
      <c r="L40" s="146"/>
      <c r="M40" s="146"/>
      <c r="N40" s="146"/>
      <c r="O40" s="146"/>
      <c r="P40" s="146"/>
      <c r="Q40" s="146"/>
      <c r="R40" s="146"/>
      <c r="T40" s="168"/>
      <c r="U40" s="246"/>
      <c r="V40" s="247"/>
      <c r="W40" s="167"/>
      <c r="X40" s="167"/>
      <c r="Y40" s="167"/>
      <c r="Z40" s="167"/>
      <c r="AA40" s="167"/>
      <c r="AB40" s="167"/>
      <c r="AC40" s="167"/>
      <c r="AD40" s="167"/>
      <c r="AE40" s="167"/>
      <c r="AF40" s="167"/>
      <c r="AG40" s="167"/>
      <c r="AH40" s="167"/>
      <c r="AI40" s="167"/>
      <c r="AJ40" s="167"/>
      <c r="AK40" s="167"/>
      <c r="AL40" s="167"/>
      <c r="AM40" s="168"/>
      <c r="AN40" s="166"/>
      <c r="AO40" s="166"/>
      <c r="AP40" s="146"/>
      <c r="AQ40" s="146"/>
      <c r="AR40" s="146"/>
      <c r="AS40" s="146"/>
      <c r="AT40" s="146"/>
      <c r="AU40" s="146"/>
      <c r="AV40" s="146"/>
      <c r="AW40" s="146"/>
      <c r="AX40" s="146"/>
      <c r="AY40" s="146"/>
      <c r="AZ40" s="146"/>
      <c r="BA40" s="146"/>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row>
    <row r="41" spans="1:79" ht="16.5" x14ac:dyDescent="0.25">
      <c r="A41" s="640" t="s">
        <v>126</v>
      </c>
      <c r="B41" s="641"/>
      <c r="C41" s="642"/>
      <c r="D41" s="146"/>
      <c r="E41" s="146"/>
      <c r="F41" s="157" t="s">
        <v>244</v>
      </c>
      <c r="G41" s="157" t="s">
        <v>246</v>
      </c>
      <c r="H41" s="157" t="s">
        <v>247</v>
      </c>
      <c r="I41" s="157" t="s">
        <v>248</v>
      </c>
      <c r="J41" s="157" t="s">
        <v>249</v>
      </c>
      <c r="K41" s="157"/>
      <c r="L41" s="157" t="s">
        <v>245</v>
      </c>
      <c r="M41" s="157" t="s">
        <v>251</v>
      </c>
      <c r="N41" s="157" t="s">
        <v>250</v>
      </c>
      <c r="O41" s="157" t="s">
        <v>253</v>
      </c>
      <c r="P41" s="157" t="s">
        <v>252</v>
      </c>
      <c r="Q41" s="157"/>
      <c r="R41" s="157"/>
      <c r="S41" s="158"/>
      <c r="T41" s="168"/>
      <c r="U41" s="246"/>
      <c r="V41" s="247"/>
      <c r="W41" s="167"/>
      <c r="X41" s="167"/>
      <c r="Y41" s="167"/>
      <c r="Z41" s="167"/>
      <c r="AA41" s="167"/>
      <c r="AB41" s="167"/>
      <c r="AC41" s="167"/>
      <c r="AD41" s="167"/>
      <c r="AE41" s="167"/>
      <c r="AF41" s="167"/>
      <c r="AG41" s="167"/>
      <c r="AH41" s="167"/>
      <c r="AI41" s="167"/>
      <c r="AJ41" s="167"/>
      <c r="AK41" s="167"/>
      <c r="AL41" s="167"/>
      <c r="AM41" s="168"/>
      <c r="AN41" s="166"/>
      <c r="AO41" s="166"/>
      <c r="AP41" s="146"/>
      <c r="AQ41" s="146"/>
      <c r="AR41" s="146"/>
      <c r="AS41" s="146"/>
      <c r="AT41" s="146"/>
      <c r="AU41" s="146"/>
      <c r="AV41" s="146"/>
      <c r="AW41" s="146"/>
      <c r="AX41" s="146"/>
      <c r="AY41" s="146"/>
      <c r="AZ41" s="146"/>
      <c r="BA41" s="146"/>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row>
    <row r="42" spans="1:79" x14ac:dyDescent="0.25">
      <c r="A42" s="237" t="s">
        <v>308</v>
      </c>
      <c r="B42" s="238"/>
      <c r="C42" s="239" t="s">
        <v>188</v>
      </c>
      <c r="D42" s="146"/>
      <c r="E42" s="146"/>
      <c r="F42" s="157" t="str">
        <f>IF(AND(S42=TRUE,C42="Station"),A42,"")</f>
        <v>Evaluate and implement bicycle sharing at BART stations</v>
      </c>
      <c r="G42" s="157">
        <f>IF(F42="","",ROW())</f>
        <v>42</v>
      </c>
      <c r="H42" s="157">
        <f>IF(G42="","",RANK(G42,G$42:G$44,-1))</f>
        <v>1</v>
      </c>
      <c r="I42" s="157">
        <f>MATCH(ROW()-41,H$42:H$44,0)</f>
        <v>1</v>
      </c>
      <c r="J42" s="157" t="str">
        <f ca="1">IFERROR(OFFSET(F$42,-1+I42,0),"")</f>
        <v>Evaluate and implement bicycle sharing at BART stations</v>
      </c>
      <c r="K42" s="157"/>
      <c r="L42" s="157" t="str">
        <f>IF(AND(S42=TRUE,C42="Systemwide"),A42,"")</f>
        <v/>
      </c>
      <c r="M42" s="157" t="str">
        <f>IF(L42="","",ROW())</f>
        <v/>
      </c>
      <c r="N42" s="157" t="str">
        <f>IF(M42="","",RANK(M42,M$42:M$44,-1))</f>
        <v/>
      </c>
      <c r="O42" s="157" t="e">
        <f>MATCH(ROW()-41,N$42:N$44,0)</f>
        <v>#N/A</v>
      </c>
      <c r="P42" s="157" t="str">
        <f ca="1">IFERROR(OFFSET(L$42,-1+O42,0),"")</f>
        <v/>
      </c>
      <c r="Q42" s="157"/>
      <c r="R42" s="157"/>
      <c r="S42" s="158" t="b">
        <v>1</v>
      </c>
      <c r="T42" s="168"/>
      <c r="U42" s="246"/>
      <c r="V42" s="247"/>
      <c r="W42" s="167"/>
      <c r="X42" s="167"/>
      <c r="Y42" s="167"/>
      <c r="Z42" s="167"/>
      <c r="AA42" s="167"/>
      <c r="AB42" s="167"/>
      <c r="AC42" s="167"/>
      <c r="AD42" s="167"/>
      <c r="AE42" s="167"/>
      <c r="AF42" s="167"/>
      <c r="AG42" s="167"/>
      <c r="AH42" s="167"/>
      <c r="AI42" s="167"/>
      <c r="AJ42" s="167"/>
      <c r="AK42" s="167"/>
      <c r="AL42" s="167"/>
      <c r="AM42" s="168"/>
      <c r="AN42" s="166"/>
      <c r="AO42" s="166"/>
      <c r="AP42" s="146"/>
      <c r="AQ42" s="146"/>
      <c r="AR42" s="146"/>
      <c r="AS42" s="146"/>
      <c r="AT42" s="146"/>
      <c r="AU42" s="146"/>
      <c r="AV42" s="146"/>
      <c r="AW42" s="146"/>
      <c r="AX42" s="146"/>
      <c r="AY42" s="146"/>
      <c r="AZ42" s="146"/>
      <c r="BA42" s="146"/>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row>
    <row r="43" spans="1:79" x14ac:dyDescent="0.25">
      <c r="A43" s="237" t="s">
        <v>134</v>
      </c>
      <c r="B43" s="238"/>
      <c r="C43" s="239" t="s">
        <v>188</v>
      </c>
      <c r="D43" s="146"/>
      <c r="E43" s="146"/>
      <c r="F43" s="157" t="str">
        <f>IF(AND(S43=TRUE,C43="Station"),A43,"")</f>
        <v>Support local efforts to improve bike access to stations</v>
      </c>
      <c r="G43" s="157">
        <f t="shared" ref="G43:G44" si="16">IF(F43="","",ROW())</f>
        <v>43</v>
      </c>
      <c r="H43" s="157">
        <f>IF(G43="","",RANK(G43,G$42:G$44,-1))</f>
        <v>2</v>
      </c>
      <c r="I43" s="157">
        <f t="shared" ref="I43:I44" si="17">MATCH(ROW()-41,H$42:H$44,0)</f>
        <v>2</v>
      </c>
      <c r="J43" s="157" t="str">
        <f ca="1">IFERROR(OFFSET(F$42,-1+I43,0),"")</f>
        <v>Support local efforts to improve bike access to stations</v>
      </c>
      <c r="K43" s="157"/>
      <c r="L43" s="157" t="str">
        <f>IF(AND(S43=TRUE,C43="Systemwide"),A43,"")</f>
        <v/>
      </c>
      <c r="M43" s="157" t="str">
        <f>IF(L43="","",ROW())</f>
        <v/>
      </c>
      <c r="N43" s="157" t="str">
        <f>IF(M43="","",RANK(M43,M$42:M$44,-1))</f>
        <v/>
      </c>
      <c r="O43" s="157" t="e">
        <f t="shared" ref="O43:O44" si="18">MATCH(ROW()-41,N$42:N$44,0)</f>
        <v>#N/A</v>
      </c>
      <c r="P43" s="157" t="str">
        <f ca="1">IFERROR(OFFSET(L$42,-1+O43,0),"")</f>
        <v/>
      </c>
      <c r="Q43" s="157"/>
      <c r="R43" s="157"/>
      <c r="S43" s="158" t="b">
        <v>1</v>
      </c>
      <c r="T43" s="168"/>
      <c r="U43" s="246"/>
      <c r="V43" s="247"/>
      <c r="W43" s="167"/>
      <c r="X43" s="167"/>
      <c r="Y43" s="167"/>
      <c r="Z43" s="167"/>
      <c r="AA43" s="167"/>
      <c r="AB43" s="167"/>
      <c r="AC43" s="167"/>
      <c r="AD43" s="167"/>
      <c r="AE43" s="167"/>
      <c r="AF43" s="167"/>
      <c r="AG43" s="167"/>
      <c r="AH43" s="167"/>
      <c r="AI43" s="167"/>
      <c r="AJ43" s="167"/>
      <c r="AK43" s="167"/>
      <c r="AL43" s="167"/>
      <c r="AM43" s="168"/>
      <c r="AN43" s="166"/>
      <c r="AO43" s="166"/>
      <c r="AP43" s="146"/>
      <c r="AQ43" s="146"/>
      <c r="AR43" s="146"/>
      <c r="AS43" s="146"/>
      <c r="AT43" s="146"/>
      <c r="AU43" s="146"/>
      <c r="AV43" s="146"/>
      <c r="AW43" s="146"/>
      <c r="AX43" s="146"/>
      <c r="AY43" s="146"/>
      <c r="AZ43" s="146"/>
      <c r="BA43" s="146"/>
      <c r="BF43" s="159"/>
      <c r="BG43" s="159"/>
      <c r="BH43" s="159"/>
      <c r="BI43" s="159"/>
      <c r="BJ43" s="159"/>
      <c r="BK43" s="159"/>
      <c r="BL43" s="159"/>
      <c r="BM43" s="159"/>
      <c r="BN43" s="159"/>
      <c r="BO43" s="159"/>
      <c r="BP43" s="159"/>
      <c r="BQ43" s="159"/>
      <c r="BR43" s="159"/>
      <c r="BS43" s="159"/>
      <c r="BT43" s="159"/>
      <c r="BU43" s="159"/>
      <c r="BV43" s="159"/>
      <c r="BW43" s="159"/>
      <c r="BX43" s="159"/>
      <c r="BY43" s="159"/>
      <c r="BZ43" s="159"/>
      <c r="CA43" s="159"/>
    </row>
    <row r="44" spans="1:79" x14ac:dyDescent="0.25">
      <c r="A44" s="237" t="s">
        <v>133</v>
      </c>
      <c r="B44" s="238"/>
      <c r="C44" s="239" t="s">
        <v>188</v>
      </c>
      <c r="D44" s="146"/>
      <c r="E44" s="146"/>
      <c r="F44" s="157" t="str">
        <f>IF(AND(S44=TRUE,C44="Station"),A44,"")</f>
        <v>Create catchment area maps with recommended bike routes</v>
      </c>
      <c r="G44" s="157">
        <f t="shared" si="16"/>
        <v>44</v>
      </c>
      <c r="H44" s="157">
        <f>IF(G44="","",RANK(G44,G$42:G$44,-1))</f>
        <v>3</v>
      </c>
      <c r="I44" s="157">
        <f t="shared" si="17"/>
        <v>3</v>
      </c>
      <c r="J44" s="157" t="str">
        <f ca="1">IFERROR(OFFSET(F$42,-1+I44,0),"")</f>
        <v>Create catchment area maps with recommended bike routes</v>
      </c>
      <c r="K44" s="157"/>
      <c r="L44" s="157" t="str">
        <f>IF(AND(S44=TRUE,C44="Systemwide"),A44,"")</f>
        <v/>
      </c>
      <c r="M44" s="157" t="str">
        <f>IF(L44="","",ROW())</f>
        <v/>
      </c>
      <c r="N44" s="157" t="str">
        <f>IF(M44="","",RANK(M44,M$42:M$44,-1))</f>
        <v/>
      </c>
      <c r="O44" s="157" t="e">
        <f t="shared" si="18"/>
        <v>#N/A</v>
      </c>
      <c r="P44" s="157" t="str">
        <f ca="1">IFERROR(OFFSET(L$42,-1+O44,0),"")</f>
        <v/>
      </c>
      <c r="Q44" s="157"/>
      <c r="R44" s="157"/>
      <c r="S44" s="158" t="b">
        <v>1</v>
      </c>
      <c r="T44" s="168"/>
      <c r="U44" s="246"/>
      <c r="V44" s="247"/>
      <c r="W44" s="167"/>
      <c r="X44" s="167"/>
      <c r="Y44" s="167"/>
      <c r="Z44" s="167"/>
      <c r="AA44" s="167"/>
      <c r="AB44" s="167"/>
      <c r="AC44" s="167"/>
      <c r="AD44" s="167"/>
      <c r="AE44" s="167"/>
      <c r="AF44" s="167"/>
      <c r="AG44" s="167"/>
      <c r="AH44" s="167"/>
      <c r="AI44" s="167"/>
      <c r="AJ44" s="167"/>
      <c r="AK44" s="167"/>
      <c r="AL44" s="167"/>
      <c r="AM44" s="168"/>
      <c r="AN44" s="166"/>
      <c r="AO44" s="166"/>
      <c r="AP44" s="146"/>
      <c r="AQ44" s="146"/>
      <c r="AR44" s="146"/>
      <c r="AS44" s="146"/>
      <c r="AT44" s="146"/>
      <c r="AU44" s="146"/>
      <c r="AV44" s="146"/>
      <c r="AW44" s="146"/>
      <c r="AX44" s="146"/>
      <c r="AY44" s="146"/>
      <c r="AZ44" s="146"/>
      <c r="BA44" s="146"/>
      <c r="BF44" s="159"/>
      <c r="BG44" s="159"/>
      <c r="BH44" s="159"/>
      <c r="BI44" s="159"/>
      <c r="BJ44" s="159"/>
      <c r="BK44" s="159"/>
      <c r="BL44" s="159"/>
      <c r="BM44" s="159"/>
      <c r="BN44" s="159"/>
      <c r="BO44" s="159"/>
      <c r="BP44" s="159"/>
      <c r="BQ44" s="159"/>
      <c r="BR44" s="159"/>
      <c r="BS44" s="159"/>
      <c r="BT44" s="159"/>
      <c r="BU44" s="159"/>
      <c r="BV44" s="159"/>
      <c r="BW44" s="159"/>
      <c r="BX44" s="159"/>
      <c r="BY44" s="159"/>
      <c r="BZ44" s="159"/>
      <c r="CA44" s="159"/>
    </row>
    <row r="45" spans="1:79" x14ac:dyDescent="0.25">
      <c r="A45" s="168"/>
      <c r="B45" s="166"/>
      <c r="C45" s="169"/>
      <c r="D45" s="146"/>
      <c r="E45" s="146"/>
      <c r="F45" s="146"/>
      <c r="G45" s="146"/>
      <c r="H45" s="146"/>
      <c r="I45" s="146"/>
      <c r="J45" s="146"/>
      <c r="K45" s="146"/>
      <c r="L45" s="146"/>
      <c r="M45" s="146"/>
      <c r="N45" s="146"/>
      <c r="O45" s="146"/>
      <c r="P45" s="146"/>
      <c r="Q45" s="146"/>
      <c r="R45" s="146"/>
      <c r="T45" s="168"/>
      <c r="U45" s="246"/>
      <c r="V45" s="247"/>
      <c r="W45" s="167"/>
      <c r="X45" s="167"/>
      <c r="Y45" s="167"/>
      <c r="Z45" s="167"/>
      <c r="AA45" s="167"/>
      <c r="AB45" s="167"/>
      <c r="AC45" s="167"/>
      <c r="AD45" s="167"/>
      <c r="AE45" s="167"/>
      <c r="AF45" s="167"/>
      <c r="AG45" s="167"/>
      <c r="AH45" s="167"/>
      <c r="AI45" s="167"/>
      <c r="AJ45" s="167"/>
      <c r="AK45" s="167"/>
      <c r="AL45" s="167"/>
      <c r="AM45" s="168"/>
      <c r="AN45" s="166"/>
      <c r="AO45" s="166"/>
      <c r="AP45" s="146"/>
      <c r="AQ45" s="146"/>
      <c r="AR45" s="146"/>
      <c r="AS45" s="146"/>
      <c r="AT45" s="146"/>
      <c r="AU45" s="146"/>
      <c r="AV45" s="146"/>
      <c r="AW45" s="146"/>
      <c r="AX45" s="146"/>
      <c r="AY45" s="146"/>
      <c r="AZ45" s="146"/>
      <c r="BA45" s="146"/>
      <c r="BF45" s="159"/>
      <c r="BG45" s="159"/>
      <c r="BH45" s="159"/>
      <c r="BI45" s="159"/>
      <c r="BJ45" s="159"/>
      <c r="BK45" s="159"/>
      <c r="BL45" s="159"/>
      <c r="BM45" s="159"/>
      <c r="BN45" s="159"/>
      <c r="BO45" s="159"/>
      <c r="BP45" s="159"/>
      <c r="BQ45" s="159"/>
      <c r="BR45" s="159"/>
      <c r="BS45" s="159"/>
      <c r="BT45" s="159"/>
      <c r="BU45" s="159"/>
      <c r="BV45" s="159"/>
      <c r="BW45" s="159"/>
      <c r="BX45" s="159"/>
      <c r="BY45" s="159"/>
      <c r="BZ45" s="159"/>
      <c r="CA45" s="159"/>
    </row>
    <row r="46" spans="1:79" ht="16.5" x14ac:dyDescent="0.25">
      <c r="A46" s="640" t="s">
        <v>129</v>
      </c>
      <c r="B46" s="641"/>
      <c r="C46" s="642"/>
      <c r="D46" s="146"/>
      <c r="E46" s="146"/>
      <c r="F46" s="146"/>
      <c r="G46" s="146"/>
      <c r="H46" s="146"/>
      <c r="I46" s="146"/>
      <c r="J46" s="146"/>
      <c r="K46" s="146"/>
      <c r="L46" s="146"/>
      <c r="M46" s="146"/>
      <c r="N46" s="146"/>
      <c r="O46" s="146"/>
      <c r="P46" s="146"/>
      <c r="Q46" s="146"/>
      <c r="R46" s="146"/>
      <c r="T46" s="168"/>
      <c r="U46" s="246"/>
      <c r="V46" s="247"/>
      <c r="W46" s="167"/>
      <c r="X46" s="167"/>
      <c r="Y46" s="167"/>
      <c r="Z46" s="167"/>
      <c r="AA46" s="167"/>
      <c r="AB46" s="167"/>
      <c r="AC46" s="167"/>
      <c r="AD46" s="167"/>
      <c r="AE46" s="167"/>
      <c r="AF46" s="167"/>
      <c r="AG46" s="167"/>
      <c r="AH46" s="167"/>
      <c r="AI46" s="167"/>
      <c r="AJ46" s="167"/>
      <c r="AK46" s="167"/>
      <c r="AL46" s="167"/>
      <c r="AM46" s="168"/>
      <c r="AN46" s="166"/>
      <c r="AO46" s="166"/>
      <c r="AP46" s="146"/>
      <c r="AQ46" s="146"/>
      <c r="AR46" s="146"/>
      <c r="AS46" s="146"/>
      <c r="AT46" s="146"/>
      <c r="AU46" s="146"/>
      <c r="AV46" s="146"/>
      <c r="AW46" s="146"/>
      <c r="AX46" s="146"/>
      <c r="AY46" s="146"/>
      <c r="AZ46" s="146"/>
      <c r="BA46" s="146"/>
      <c r="BF46" s="159"/>
      <c r="BG46" s="159"/>
      <c r="BH46" s="159"/>
      <c r="BI46" s="159"/>
      <c r="BJ46" s="159"/>
      <c r="BK46" s="159"/>
      <c r="BL46" s="159"/>
      <c r="BM46" s="159"/>
      <c r="BN46" s="159"/>
      <c r="BO46" s="159"/>
      <c r="BP46" s="159"/>
      <c r="BQ46" s="159"/>
      <c r="BR46" s="159"/>
      <c r="BS46" s="159"/>
      <c r="BT46" s="159"/>
      <c r="BU46" s="159"/>
      <c r="BV46" s="159"/>
      <c r="BW46" s="159"/>
      <c r="BX46" s="159"/>
      <c r="BY46" s="159"/>
      <c r="BZ46" s="159"/>
      <c r="CA46" s="159"/>
    </row>
    <row r="47" spans="1:79" x14ac:dyDescent="0.25">
      <c r="A47" s="168"/>
      <c r="B47" s="241"/>
      <c r="C47" s="242"/>
      <c r="D47" s="146"/>
      <c r="E47" s="146"/>
      <c r="F47" s="146"/>
      <c r="G47" s="146"/>
      <c r="H47" s="146"/>
      <c r="I47" s="146"/>
      <c r="J47" s="146"/>
      <c r="K47" s="146"/>
      <c r="L47" s="146"/>
      <c r="M47" s="146"/>
      <c r="N47" s="146"/>
      <c r="O47" s="146"/>
      <c r="P47" s="146"/>
      <c r="Q47" s="146"/>
      <c r="R47" s="146"/>
      <c r="T47" s="168"/>
      <c r="U47" s="246"/>
      <c r="V47" s="247"/>
      <c r="W47" s="167"/>
      <c r="X47" s="167"/>
      <c r="Y47" s="167"/>
      <c r="Z47" s="167"/>
      <c r="AA47" s="167"/>
      <c r="AB47" s="167"/>
      <c r="AC47" s="167"/>
      <c r="AD47" s="167"/>
      <c r="AE47" s="167"/>
      <c r="AF47" s="167"/>
      <c r="AG47" s="167"/>
      <c r="AH47" s="167"/>
      <c r="AI47" s="167"/>
      <c r="AJ47" s="167"/>
      <c r="AK47" s="167"/>
      <c r="AL47" s="167"/>
      <c r="AM47" s="168"/>
      <c r="AN47" s="166"/>
      <c r="AO47" s="166"/>
      <c r="AP47" s="146"/>
      <c r="AQ47" s="146"/>
      <c r="AR47" s="146"/>
      <c r="AS47" s="146"/>
      <c r="AT47" s="146"/>
      <c r="AU47" s="146"/>
      <c r="AV47" s="146"/>
      <c r="AW47" s="146"/>
      <c r="AX47" s="146"/>
      <c r="AY47" s="146"/>
      <c r="AZ47" s="146"/>
      <c r="BA47" s="146"/>
      <c r="BF47" s="159"/>
      <c r="BG47" s="159"/>
      <c r="BH47" s="159"/>
      <c r="BI47" s="159"/>
      <c r="BJ47" s="159"/>
      <c r="BK47" s="159"/>
      <c r="BL47" s="159"/>
      <c r="BM47" s="159"/>
      <c r="BN47" s="159"/>
      <c r="BO47" s="159"/>
      <c r="BP47" s="159"/>
      <c r="BQ47" s="159"/>
      <c r="BR47" s="159"/>
      <c r="BS47" s="159"/>
      <c r="BT47" s="159"/>
      <c r="BU47" s="159"/>
      <c r="BV47" s="159"/>
      <c r="BW47" s="159"/>
      <c r="BX47" s="159"/>
      <c r="BY47" s="159"/>
      <c r="BZ47" s="159"/>
      <c r="CA47" s="159"/>
    </row>
    <row r="48" spans="1:79" ht="16.5" x14ac:dyDescent="0.25">
      <c r="A48" s="640" t="s">
        <v>128</v>
      </c>
      <c r="B48" s="641"/>
      <c r="C48" s="642"/>
      <c r="D48" s="146"/>
      <c r="E48" s="146"/>
      <c r="F48" s="146"/>
      <c r="G48" s="146"/>
      <c r="H48" s="146"/>
      <c r="I48" s="146"/>
      <c r="J48" s="146"/>
      <c r="K48" s="146"/>
      <c r="L48" s="146"/>
      <c r="M48" s="146"/>
      <c r="N48" s="146"/>
      <c r="O48" s="146"/>
      <c r="P48" s="146"/>
      <c r="Q48" s="146"/>
      <c r="R48" s="146"/>
      <c r="T48" s="168"/>
      <c r="U48" s="246"/>
      <c r="V48" s="247"/>
      <c r="W48" s="167"/>
      <c r="X48" s="167"/>
      <c r="Y48" s="167"/>
      <c r="Z48" s="167"/>
      <c r="AA48" s="167"/>
      <c r="AB48" s="167"/>
      <c r="AC48" s="167"/>
      <c r="AD48" s="167"/>
      <c r="AE48" s="167"/>
      <c r="AF48" s="167"/>
      <c r="AG48" s="167"/>
      <c r="AH48" s="167"/>
      <c r="AI48" s="167"/>
      <c r="AJ48" s="167"/>
      <c r="AK48" s="167"/>
      <c r="AL48" s="167"/>
      <c r="AM48" s="168"/>
      <c r="AN48" s="166"/>
      <c r="AO48" s="166"/>
      <c r="AP48" s="146"/>
      <c r="AQ48" s="146"/>
      <c r="AR48" s="146"/>
      <c r="AS48" s="146"/>
      <c r="AT48" s="146"/>
      <c r="AU48" s="146"/>
      <c r="AV48" s="146"/>
      <c r="AW48" s="146"/>
      <c r="AX48" s="146"/>
      <c r="AY48" s="146"/>
      <c r="AZ48" s="146"/>
      <c r="BA48" s="146"/>
      <c r="BF48" s="159"/>
      <c r="BG48" s="159"/>
      <c r="BH48" s="159"/>
      <c r="BI48" s="159"/>
      <c r="BJ48" s="159"/>
      <c r="BK48" s="159"/>
      <c r="BL48" s="159"/>
      <c r="BM48" s="159"/>
      <c r="BN48" s="159"/>
      <c r="BO48" s="159"/>
      <c r="BP48" s="159"/>
      <c r="BQ48" s="159"/>
      <c r="BR48" s="159"/>
      <c r="BS48" s="159"/>
      <c r="BT48" s="159"/>
      <c r="BU48" s="159"/>
      <c r="BV48" s="159"/>
      <c r="BW48" s="159"/>
      <c r="BX48" s="159"/>
      <c r="BY48" s="159"/>
      <c r="BZ48" s="159"/>
      <c r="CA48" s="159"/>
    </row>
    <row r="49" spans="1:79" x14ac:dyDescent="0.25">
      <c r="A49" s="168"/>
      <c r="B49" s="166"/>
      <c r="C49" s="169"/>
      <c r="D49" s="146"/>
      <c r="E49" s="146"/>
      <c r="F49" s="146"/>
      <c r="G49" s="146"/>
      <c r="H49" s="146"/>
      <c r="I49" s="146"/>
      <c r="J49" s="146"/>
      <c r="K49" s="146"/>
      <c r="L49" s="146"/>
      <c r="M49" s="146"/>
      <c r="N49" s="146"/>
      <c r="O49" s="146"/>
      <c r="P49" s="146"/>
      <c r="Q49" s="146"/>
      <c r="R49" s="146"/>
      <c r="T49" s="168"/>
      <c r="U49" s="246"/>
      <c r="V49" s="247"/>
      <c r="W49" s="167"/>
      <c r="X49" s="167"/>
      <c r="Y49" s="167"/>
      <c r="Z49" s="167"/>
      <c r="AA49" s="167"/>
      <c r="AB49" s="167"/>
      <c r="AC49" s="167"/>
      <c r="AD49" s="167"/>
      <c r="AE49" s="167"/>
      <c r="AF49" s="167"/>
      <c r="AG49" s="167"/>
      <c r="AH49" s="167"/>
      <c r="AI49" s="167"/>
      <c r="AJ49" s="167"/>
      <c r="AK49" s="167"/>
      <c r="AL49" s="167"/>
      <c r="AM49" s="168"/>
      <c r="AN49" s="166"/>
      <c r="AO49" s="166"/>
      <c r="AP49" s="146"/>
      <c r="AQ49" s="146"/>
      <c r="AR49" s="146"/>
      <c r="AS49" s="146"/>
      <c r="AT49" s="146"/>
      <c r="AU49" s="146"/>
      <c r="AV49" s="146"/>
      <c r="AW49" s="146"/>
      <c r="AX49" s="146"/>
      <c r="AY49" s="146"/>
      <c r="AZ49" s="146"/>
      <c r="BA49" s="146"/>
      <c r="BF49" s="159"/>
      <c r="BG49" s="159"/>
      <c r="BH49" s="159"/>
      <c r="BI49" s="159"/>
      <c r="BJ49" s="159"/>
      <c r="BK49" s="159"/>
      <c r="BL49" s="159"/>
      <c r="BM49" s="159"/>
      <c r="BN49" s="159"/>
      <c r="BO49" s="159"/>
      <c r="BP49" s="159"/>
      <c r="BQ49" s="159"/>
      <c r="BR49" s="159"/>
      <c r="BS49" s="159"/>
      <c r="BT49" s="159"/>
      <c r="BU49" s="159"/>
      <c r="BV49" s="159"/>
      <c r="BW49" s="159"/>
      <c r="BX49" s="159"/>
      <c r="BY49" s="159"/>
      <c r="BZ49" s="159"/>
      <c r="CA49" s="159"/>
    </row>
    <row r="50" spans="1:79" x14ac:dyDescent="0.25">
      <c r="A50" s="168"/>
      <c r="B50" s="166"/>
      <c r="C50" s="169"/>
      <c r="T50" s="168"/>
      <c r="U50" s="246"/>
      <c r="V50" s="247"/>
      <c r="W50" s="167"/>
      <c r="X50" s="167"/>
      <c r="Y50" s="167"/>
      <c r="Z50" s="167"/>
      <c r="AA50" s="167"/>
      <c r="AB50" s="167"/>
      <c r="AC50" s="167"/>
      <c r="AD50" s="167"/>
      <c r="AE50" s="167"/>
      <c r="AF50" s="167"/>
      <c r="AG50" s="167"/>
      <c r="AH50" s="167"/>
      <c r="AI50" s="167"/>
      <c r="AJ50" s="167"/>
      <c r="AK50" s="167"/>
      <c r="AL50" s="167"/>
      <c r="AM50" s="168"/>
      <c r="AN50" s="166"/>
      <c r="AO50" s="166"/>
      <c r="AP50" s="146"/>
      <c r="AQ50" s="146"/>
      <c r="AR50" s="146"/>
      <c r="AS50" s="146"/>
      <c r="AT50" s="146"/>
      <c r="AU50" s="146"/>
      <c r="AV50" s="146"/>
      <c r="AW50" s="146"/>
      <c r="AX50" s="146"/>
      <c r="AY50" s="146"/>
      <c r="AZ50" s="146"/>
      <c r="BA50" s="146"/>
      <c r="BF50" s="159"/>
      <c r="BG50" s="159"/>
      <c r="BH50" s="159"/>
      <c r="BI50" s="159"/>
      <c r="BJ50" s="159"/>
      <c r="BK50" s="159"/>
      <c r="BL50" s="159"/>
      <c r="BM50" s="159"/>
      <c r="BN50" s="159"/>
      <c r="BO50" s="159"/>
      <c r="BP50" s="159"/>
      <c r="BQ50" s="159"/>
      <c r="BR50" s="159"/>
      <c r="BS50" s="159"/>
      <c r="BT50" s="159"/>
      <c r="BU50" s="159"/>
      <c r="BV50" s="159"/>
      <c r="BW50" s="159"/>
      <c r="BX50" s="159"/>
      <c r="BY50" s="159"/>
      <c r="BZ50" s="159"/>
      <c r="CA50" s="159"/>
    </row>
    <row r="51" spans="1:79" x14ac:dyDescent="0.25">
      <c r="A51" s="168"/>
      <c r="B51" s="166"/>
      <c r="C51" s="169"/>
      <c r="T51" s="168"/>
      <c r="U51" s="246"/>
      <c r="V51" s="247"/>
      <c r="W51" s="167"/>
      <c r="X51" s="167"/>
      <c r="Y51" s="167"/>
      <c r="Z51" s="167"/>
      <c r="AA51" s="167"/>
      <c r="AB51" s="167"/>
      <c r="AC51" s="167"/>
      <c r="AD51" s="167"/>
      <c r="AE51" s="167"/>
      <c r="AF51" s="167"/>
      <c r="AG51" s="167"/>
      <c r="AH51" s="167"/>
      <c r="AI51" s="167"/>
      <c r="AJ51" s="167"/>
      <c r="AK51" s="167"/>
      <c r="AL51" s="167"/>
      <c r="AM51" s="168"/>
      <c r="AN51" s="166"/>
      <c r="AO51" s="166"/>
      <c r="AP51" s="146"/>
      <c r="AQ51" s="146"/>
      <c r="AR51" s="146"/>
      <c r="AS51" s="146"/>
      <c r="AT51" s="146"/>
      <c r="AU51" s="146"/>
      <c r="AV51" s="146"/>
      <c r="AW51" s="146"/>
      <c r="AX51" s="146"/>
      <c r="AY51" s="146"/>
      <c r="AZ51" s="146"/>
      <c r="BA51" s="146"/>
      <c r="BF51" s="159"/>
      <c r="BG51" s="159"/>
      <c r="BH51" s="159"/>
      <c r="BI51" s="159"/>
      <c r="BJ51" s="159"/>
      <c r="BK51" s="159"/>
      <c r="BL51" s="159"/>
      <c r="BM51" s="159"/>
      <c r="BN51" s="159"/>
      <c r="BO51" s="159"/>
      <c r="BP51" s="159"/>
      <c r="BQ51" s="159"/>
      <c r="BR51" s="159"/>
      <c r="BS51" s="159"/>
      <c r="BT51" s="159"/>
      <c r="BU51" s="159"/>
      <c r="BV51" s="159"/>
      <c r="BW51" s="159"/>
      <c r="BX51" s="159"/>
      <c r="BY51" s="159"/>
      <c r="BZ51" s="159"/>
      <c r="CA51" s="159"/>
    </row>
    <row r="52" spans="1:79" x14ac:dyDescent="0.25">
      <c r="A52" s="168"/>
      <c r="B52" s="166"/>
      <c r="C52" s="169"/>
      <c r="T52" s="168"/>
      <c r="U52" s="246"/>
      <c r="V52" s="247"/>
      <c r="W52" s="167"/>
      <c r="X52" s="167"/>
      <c r="Y52" s="167"/>
      <c r="Z52" s="167"/>
      <c r="AA52" s="167"/>
      <c r="AB52" s="167"/>
      <c r="AC52" s="167"/>
      <c r="AD52" s="167"/>
      <c r="AE52" s="167"/>
      <c r="AF52" s="167"/>
      <c r="AG52" s="167"/>
      <c r="AH52" s="167"/>
      <c r="AI52" s="167"/>
      <c r="AJ52" s="167"/>
      <c r="AK52" s="167"/>
      <c r="AL52" s="167"/>
      <c r="AM52" s="168"/>
      <c r="AN52" s="166"/>
      <c r="AO52" s="166"/>
      <c r="AP52" s="146"/>
      <c r="AQ52" s="146"/>
      <c r="AR52" s="146"/>
      <c r="AS52" s="146"/>
      <c r="AT52" s="146"/>
      <c r="AU52" s="146"/>
      <c r="AV52" s="146"/>
      <c r="AW52" s="146"/>
      <c r="AX52" s="146"/>
      <c r="AY52" s="146"/>
      <c r="AZ52" s="146"/>
      <c r="BA52" s="146"/>
      <c r="BF52" s="159"/>
      <c r="BG52" s="159"/>
      <c r="BH52" s="159"/>
      <c r="BI52" s="159"/>
      <c r="BJ52" s="159"/>
      <c r="BK52" s="159"/>
      <c r="BL52" s="159"/>
      <c r="BM52" s="159"/>
      <c r="BN52" s="159"/>
      <c r="BO52" s="159"/>
      <c r="BP52" s="159"/>
      <c r="BQ52" s="159"/>
      <c r="BR52" s="159"/>
      <c r="BS52" s="159"/>
      <c r="BT52" s="159"/>
      <c r="BU52" s="159"/>
      <c r="BV52" s="159"/>
      <c r="BW52" s="159"/>
      <c r="BX52" s="159"/>
      <c r="BY52" s="159"/>
      <c r="BZ52" s="159"/>
      <c r="CA52" s="159"/>
    </row>
    <row r="53" spans="1:79" x14ac:dyDescent="0.25">
      <c r="A53" s="168"/>
      <c r="B53" s="166"/>
      <c r="C53" s="169"/>
      <c r="D53" s="146"/>
      <c r="E53" s="146"/>
      <c r="F53" s="146"/>
      <c r="G53" s="146"/>
      <c r="H53" s="146"/>
      <c r="I53" s="146"/>
      <c r="J53" s="146"/>
      <c r="K53" s="146"/>
      <c r="L53" s="146"/>
      <c r="M53" s="146"/>
      <c r="N53" s="146"/>
      <c r="O53" s="146"/>
      <c r="T53" s="168"/>
      <c r="U53" s="246"/>
      <c r="V53" s="247"/>
      <c r="W53" s="167"/>
      <c r="X53" s="167"/>
      <c r="Y53" s="167"/>
      <c r="Z53" s="167"/>
      <c r="AA53" s="167"/>
      <c r="AB53" s="167"/>
      <c r="AC53" s="167"/>
      <c r="AD53" s="167"/>
      <c r="AE53" s="167"/>
      <c r="AF53" s="167"/>
      <c r="AG53" s="167"/>
      <c r="AH53" s="167"/>
      <c r="AI53" s="167"/>
      <c r="AJ53" s="167"/>
      <c r="AK53" s="167"/>
      <c r="AL53" s="167"/>
      <c r="AM53" s="168"/>
      <c r="AN53" s="166"/>
      <c r="AO53" s="166"/>
      <c r="AP53" s="146"/>
      <c r="AQ53" s="146"/>
      <c r="AR53" s="146"/>
      <c r="AS53" s="146"/>
      <c r="AT53" s="146"/>
      <c r="AU53" s="146"/>
      <c r="AV53" s="146"/>
      <c r="AW53" s="146"/>
      <c r="AX53" s="146"/>
      <c r="AY53" s="146"/>
      <c r="AZ53" s="146"/>
      <c r="BA53" s="146"/>
      <c r="BF53" s="159"/>
      <c r="BG53" s="159"/>
      <c r="BH53" s="159"/>
      <c r="BI53" s="159"/>
      <c r="BJ53" s="159"/>
      <c r="BK53" s="159"/>
      <c r="BL53" s="159"/>
      <c r="BM53" s="159"/>
      <c r="BN53" s="159"/>
      <c r="BO53" s="159"/>
      <c r="BP53" s="159"/>
      <c r="BQ53" s="159"/>
      <c r="BR53" s="159"/>
      <c r="BS53" s="159"/>
      <c r="BT53" s="159"/>
      <c r="BU53" s="159"/>
      <c r="BV53" s="159"/>
      <c r="BW53" s="159"/>
      <c r="BX53" s="159"/>
      <c r="BY53" s="159"/>
      <c r="BZ53" s="159"/>
      <c r="CA53" s="159"/>
    </row>
    <row r="54" spans="1:79" x14ac:dyDescent="0.25">
      <c r="A54" s="248"/>
      <c r="B54" s="246"/>
      <c r="C54" s="247"/>
      <c r="D54" s="146"/>
      <c r="E54" s="146"/>
      <c r="F54" s="146"/>
      <c r="G54" s="146"/>
      <c r="H54" s="146"/>
      <c r="I54" s="146"/>
      <c r="J54" s="146"/>
      <c r="K54" s="146"/>
      <c r="L54" s="146"/>
      <c r="M54" s="146"/>
      <c r="N54" s="146"/>
      <c r="O54" s="146"/>
      <c r="T54" s="168"/>
      <c r="U54" s="246"/>
      <c r="V54" s="247"/>
      <c r="W54" s="167"/>
      <c r="X54" s="167"/>
      <c r="Y54" s="167"/>
      <c r="Z54" s="167"/>
      <c r="AA54" s="167"/>
      <c r="AB54" s="167"/>
      <c r="AC54" s="167"/>
      <c r="AD54" s="167"/>
      <c r="AE54" s="167"/>
      <c r="AF54" s="167"/>
      <c r="AG54" s="167"/>
      <c r="AH54" s="167"/>
      <c r="AI54" s="167"/>
      <c r="AJ54" s="167"/>
      <c r="AK54" s="167"/>
      <c r="AL54" s="167"/>
      <c r="AM54" s="168"/>
      <c r="AN54" s="166"/>
      <c r="AO54" s="166"/>
      <c r="AP54" s="146"/>
      <c r="AQ54" s="146"/>
      <c r="AR54" s="146"/>
      <c r="AS54" s="146"/>
      <c r="AT54" s="146"/>
      <c r="AU54" s="146"/>
      <c r="AV54" s="146"/>
      <c r="AW54" s="146"/>
      <c r="AX54" s="146"/>
      <c r="AY54" s="146"/>
      <c r="AZ54" s="146"/>
      <c r="BA54" s="146"/>
      <c r="BF54" s="159"/>
      <c r="BG54" s="159"/>
      <c r="BH54" s="159"/>
      <c r="BI54" s="159"/>
      <c r="BJ54" s="159"/>
      <c r="BK54" s="159"/>
      <c r="BL54" s="159"/>
      <c r="BM54" s="159"/>
      <c r="BN54" s="159"/>
      <c r="BO54" s="159"/>
      <c r="BP54" s="159"/>
      <c r="BQ54" s="159"/>
      <c r="BR54" s="159"/>
      <c r="BS54" s="159"/>
      <c r="BT54" s="159"/>
      <c r="BU54" s="159"/>
      <c r="BV54" s="159"/>
      <c r="BW54" s="159"/>
      <c r="BX54" s="159"/>
      <c r="BY54" s="159"/>
      <c r="BZ54" s="159"/>
      <c r="CA54" s="159"/>
    </row>
    <row r="55" spans="1:79" ht="23.25" x14ac:dyDescent="0.25">
      <c r="A55" s="667" t="s">
        <v>269</v>
      </c>
      <c r="B55" s="668"/>
      <c r="C55" s="669"/>
      <c r="D55" s="157"/>
      <c r="E55" s="157"/>
      <c r="F55" s="157"/>
      <c r="G55" s="157"/>
      <c r="H55" s="157"/>
      <c r="I55" s="157"/>
      <c r="J55" s="157"/>
      <c r="K55" s="157"/>
      <c r="L55" s="157"/>
      <c r="M55" s="157"/>
      <c r="N55" s="157"/>
      <c r="O55" s="157"/>
      <c r="P55" s="157"/>
      <c r="Q55" s="157"/>
      <c r="R55" s="157"/>
      <c r="S55" s="158"/>
      <c r="AM55" s="249"/>
      <c r="AN55" s="250"/>
      <c r="AO55" s="250"/>
      <c r="AP55" s="146"/>
      <c r="AQ55" s="146"/>
      <c r="AR55" s="146"/>
      <c r="AS55" s="146"/>
      <c r="AT55" s="146"/>
      <c r="AU55" s="146"/>
      <c r="AV55" s="146"/>
      <c r="AW55" s="146"/>
      <c r="AX55" s="146"/>
      <c r="AY55" s="146"/>
      <c r="AZ55" s="146"/>
      <c r="BA55" s="146"/>
      <c r="BF55" s="159"/>
      <c r="BG55" s="159"/>
      <c r="BH55" s="159"/>
      <c r="BI55" s="159"/>
      <c r="BJ55" s="159"/>
      <c r="BK55" s="159"/>
      <c r="BL55" s="159"/>
      <c r="BM55" s="159"/>
      <c r="BN55" s="159"/>
      <c r="BO55" s="159"/>
      <c r="BP55" s="159"/>
      <c r="BQ55" s="159"/>
      <c r="BR55" s="159"/>
      <c r="BS55" s="159"/>
      <c r="BT55" s="159"/>
      <c r="BU55" s="159"/>
      <c r="BV55" s="159"/>
      <c r="BW55" s="159"/>
      <c r="BX55" s="159"/>
      <c r="BY55" s="159"/>
      <c r="BZ55" s="159"/>
      <c r="CA55" s="159"/>
    </row>
    <row r="56" spans="1:79" x14ac:dyDescent="0.25">
      <c r="A56" s="234" t="s">
        <v>125</v>
      </c>
      <c r="B56" s="235" t="s">
        <v>130</v>
      </c>
      <c r="C56" s="236" t="s">
        <v>187</v>
      </c>
      <c r="D56" s="157"/>
      <c r="E56" s="157"/>
      <c r="F56" s="157"/>
      <c r="G56" s="157"/>
      <c r="H56" s="157"/>
      <c r="I56" s="157"/>
      <c r="J56" s="157"/>
      <c r="K56" s="157"/>
      <c r="L56" s="157"/>
      <c r="M56" s="157"/>
      <c r="N56" s="157"/>
      <c r="O56" s="157"/>
      <c r="P56" s="157"/>
      <c r="Q56" s="157"/>
      <c r="R56" s="157"/>
      <c r="S56" s="158"/>
      <c r="AM56" s="168"/>
      <c r="AN56" s="166"/>
      <c r="AO56" s="166"/>
      <c r="AP56" s="146"/>
      <c r="AQ56" s="146"/>
      <c r="AR56" s="146"/>
      <c r="AS56" s="146"/>
      <c r="AT56" s="146"/>
      <c r="AU56" s="146"/>
      <c r="AV56" s="146"/>
      <c r="AW56" s="146"/>
      <c r="AX56" s="146"/>
      <c r="AY56" s="146"/>
      <c r="AZ56" s="146"/>
      <c r="BA56" s="146"/>
      <c r="BF56" s="159"/>
      <c r="BG56" s="159"/>
      <c r="BH56" s="159"/>
      <c r="BI56" s="159"/>
      <c r="BJ56" s="159"/>
      <c r="BK56" s="159"/>
      <c r="BL56" s="159"/>
      <c r="BM56" s="159"/>
      <c r="BN56" s="159"/>
      <c r="BO56" s="159"/>
      <c r="BP56" s="159"/>
      <c r="BQ56" s="159"/>
      <c r="BR56" s="159"/>
      <c r="BS56" s="159"/>
      <c r="BT56" s="159"/>
      <c r="BU56" s="159"/>
      <c r="BV56" s="159"/>
      <c r="BW56" s="159"/>
      <c r="BX56" s="159"/>
      <c r="BY56" s="159"/>
      <c r="BZ56" s="159"/>
      <c r="CA56" s="159"/>
    </row>
    <row r="57" spans="1:79" ht="16.5" x14ac:dyDescent="0.25">
      <c r="A57" s="640" t="s">
        <v>126</v>
      </c>
      <c r="B57" s="641"/>
      <c r="C57" s="642"/>
      <c r="D57" s="157"/>
      <c r="E57" s="157"/>
      <c r="F57" s="157" t="s">
        <v>244</v>
      </c>
      <c r="G57" s="157" t="s">
        <v>246</v>
      </c>
      <c r="H57" s="157" t="s">
        <v>247</v>
      </c>
      <c r="I57" s="157" t="s">
        <v>248</v>
      </c>
      <c r="J57" s="157" t="s">
        <v>249</v>
      </c>
      <c r="K57" s="157"/>
      <c r="L57" s="157" t="s">
        <v>245</v>
      </c>
      <c r="M57" s="157" t="s">
        <v>251</v>
      </c>
      <c r="N57" s="157" t="s">
        <v>250</v>
      </c>
      <c r="O57" s="157" t="s">
        <v>253</v>
      </c>
      <c r="P57" s="157" t="s">
        <v>252</v>
      </c>
      <c r="Q57" s="157"/>
      <c r="R57" s="157"/>
      <c r="S57" s="158"/>
      <c r="AM57" s="168"/>
      <c r="AN57" s="166"/>
      <c r="AO57" s="166"/>
      <c r="AP57" s="146"/>
      <c r="AQ57" s="146"/>
      <c r="AR57" s="146"/>
      <c r="AS57" s="146"/>
      <c r="AT57" s="146"/>
      <c r="AU57" s="146"/>
      <c r="AV57" s="146"/>
      <c r="AW57" s="146"/>
      <c r="AX57" s="146"/>
      <c r="AY57" s="146"/>
      <c r="AZ57" s="146"/>
      <c r="BA57" s="146"/>
      <c r="BF57" s="159"/>
      <c r="BG57" s="159"/>
      <c r="BH57" s="159"/>
      <c r="BI57" s="159"/>
      <c r="BJ57" s="159"/>
      <c r="BK57" s="159"/>
      <c r="BL57" s="159"/>
      <c r="BM57" s="159"/>
      <c r="BN57" s="159"/>
      <c r="BO57" s="159"/>
      <c r="BP57" s="159"/>
      <c r="BQ57" s="159"/>
      <c r="BR57" s="159"/>
      <c r="BS57" s="159"/>
      <c r="BT57" s="159"/>
      <c r="BU57" s="159"/>
      <c r="BV57" s="159"/>
      <c r="BW57" s="159"/>
      <c r="BX57" s="159"/>
      <c r="BY57" s="159"/>
      <c r="BZ57" s="159"/>
      <c r="CA57" s="159"/>
    </row>
    <row r="58" spans="1:79" x14ac:dyDescent="0.25">
      <c r="A58" s="237" t="s">
        <v>310</v>
      </c>
      <c r="B58" s="238"/>
      <c r="C58" s="239" t="s">
        <v>189</v>
      </c>
      <c r="D58" s="157"/>
      <c r="E58" s="157"/>
      <c r="F58" s="157" t="str">
        <f>IF(AND(S58=TRUE,C58="Station"),A58,"")</f>
        <v/>
      </c>
      <c r="G58" s="157" t="str">
        <f>IF(F58="","",ROW())</f>
        <v/>
      </c>
      <c r="H58" s="157" t="str">
        <f t="shared" ref="H58:H63" si="19">IF(G58="","",RANK(G58,G$58:G$63,-1))</f>
        <v/>
      </c>
      <c r="I58" s="157" t="e">
        <f>MATCH(ROW()-57,H$58:H$63,0)</f>
        <v>#N/A</v>
      </c>
      <c r="J58" s="157" t="str">
        <f t="shared" ref="J58:J63" ca="1" si="20">IFERROR(OFFSET(F$58,-1+I58,0),"")</f>
        <v/>
      </c>
      <c r="K58" s="157"/>
      <c r="L58" s="157" t="str">
        <f>IF(AND(S58=TRUE,C58="Systemwide"),A58,"")</f>
        <v>Provide space for bicycles in new BART cars</v>
      </c>
      <c r="M58" s="157">
        <f>IF(L58="","",ROW())</f>
        <v>58</v>
      </c>
      <c r="N58" s="157">
        <f t="shared" ref="N58:N63" si="21">IF(M58="","",RANK(M58,M$58:M$63,-1))</f>
        <v>1</v>
      </c>
      <c r="O58" s="157">
        <f>MATCH(ROW()-57,N$58:N$63,0)</f>
        <v>1</v>
      </c>
      <c r="P58" s="157" t="str">
        <f t="shared" ref="P58:P63" ca="1" si="22">IFERROR(OFFSET(L$58,-1+O58,0),"")</f>
        <v>Provide space for bicycles in new BART cars</v>
      </c>
      <c r="Q58" s="157"/>
      <c r="R58" s="157"/>
      <c r="S58" s="158" t="b">
        <v>1</v>
      </c>
      <c r="AM58" s="168"/>
      <c r="AN58" s="166"/>
      <c r="AO58" s="166"/>
      <c r="AP58" s="146"/>
      <c r="AQ58" s="146"/>
      <c r="AR58" s="146"/>
      <c r="AS58" s="146"/>
      <c r="AT58" s="146"/>
      <c r="AU58" s="146"/>
      <c r="AV58" s="146"/>
      <c r="AW58" s="146"/>
      <c r="AX58" s="146"/>
      <c r="AY58" s="146"/>
      <c r="AZ58" s="146"/>
      <c r="BA58" s="146"/>
      <c r="BF58" s="159"/>
      <c r="BG58" s="159"/>
      <c r="BH58" s="159"/>
      <c r="BI58" s="159"/>
      <c r="BJ58" s="159"/>
      <c r="BK58" s="159"/>
      <c r="BL58" s="159"/>
      <c r="BM58" s="159"/>
      <c r="BN58" s="159"/>
      <c r="BO58" s="159"/>
      <c r="BP58" s="159"/>
      <c r="BQ58" s="159"/>
      <c r="BR58" s="159"/>
      <c r="BS58" s="159"/>
      <c r="BT58" s="159"/>
      <c r="BU58" s="159"/>
      <c r="BV58" s="159"/>
      <c r="BW58" s="159"/>
      <c r="BX58" s="159"/>
      <c r="BY58" s="159"/>
      <c r="BZ58" s="159"/>
      <c r="CA58" s="159"/>
    </row>
    <row r="59" spans="1:79" x14ac:dyDescent="0.25">
      <c r="A59" s="237" t="s">
        <v>226</v>
      </c>
      <c r="B59" s="238"/>
      <c r="C59" s="239" t="s">
        <v>189</v>
      </c>
      <c r="D59" s="157"/>
      <c r="E59" s="157"/>
      <c r="F59" s="157" t="str">
        <f t="shared" ref="F59:F63" si="23">IF(AND(S59=TRUE,C59="Station"),A59,"")</f>
        <v/>
      </c>
      <c r="G59" s="157" t="str">
        <f t="shared" ref="G59:G63" si="24">IF(F59="","",ROW())</f>
        <v/>
      </c>
      <c r="H59" s="157" t="str">
        <f t="shared" si="19"/>
        <v/>
      </c>
      <c r="I59" s="157" t="e">
        <f t="shared" ref="I59:I63" si="25">MATCH(ROW()-57,H$58:H$63,0)</f>
        <v>#N/A</v>
      </c>
      <c r="J59" s="157" t="str">
        <f t="shared" ca="1" si="20"/>
        <v/>
      </c>
      <c r="K59" s="157"/>
      <c r="L59" s="157" t="str">
        <f t="shared" ref="L59:L63" si="26">IF(AND(S59=TRUE,C59="Systemwide"),A59,"")</f>
        <v>Evaluate blackout periods</v>
      </c>
      <c r="M59" s="157">
        <f t="shared" ref="M59:M63" si="27">IF(L59="","",ROW())</f>
        <v>59</v>
      </c>
      <c r="N59" s="157">
        <f t="shared" si="21"/>
        <v>2</v>
      </c>
      <c r="O59" s="157">
        <f t="shared" ref="O59:O63" si="28">MATCH(ROW()-57,N$58:N$63,0)</f>
        <v>2</v>
      </c>
      <c r="P59" s="157" t="str">
        <f t="shared" ca="1" si="22"/>
        <v>Evaluate blackout periods</v>
      </c>
      <c r="Q59" s="157"/>
      <c r="R59" s="157"/>
      <c r="S59" s="158" t="b">
        <v>1</v>
      </c>
      <c r="AM59" s="168"/>
      <c r="AN59" s="166"/>
      <c r="AO59" s="166"/>
      <c r="AP59" s="146"/>
      <c r="AQ59" s="146"/>
      <c r="AR59" s="146"/>
      <c r="AS59" s="146"/>
      <c r="AT59" s="146"/>
      <c r="AU59" s="146"/>
      <c r="AV59" s="146"/>
      <c r="AW59" s="146"/>
      <c r="AX59" s="146"/>
      <c r="AY59" s="146"/>
      <c r="AZ59" s="146"/>
      <c r="BA59" s="146"/>
      <c r="BF59" s="159"/>
      <c r="BG59" s="159"/>
      <c r="BH59" s="159"/>
      <c r="BI59" s="159"/>
      <c r="BJ59" s="159"/>
      <c r="BK59" s="159"/>
      <c r="BL59" s="159"/>
      <c r="BM59" s="159"/>
      <c r="BN59" s="159"/>
      <c r="BO59" s="159"/>
      <c r="BP59" s="159"/>
      <c r="BQ59" s="159"/>
      <c r="BR59" s="159"/>
      <c r="BS59" s="159"/>
      <c r="BT59" s="159"/>
      <c r="BU59" s="159"/>
      <c r="BV59" s="159"/>
      <c r="BW59" s="159"/>
      <c r="BX59" s="159"/>
      <c r="BY59" s="159"/>
      <c r="BZ59" s="159"/>
      <c r="CA59" s="159"/>
    </row>
    <row r="60" spans="1:79" x14ac:dyDescent="0.25">
      <c r="A60" s="168"/>
      <c r="B60" s="166"/>
      <c r="C60" s="169"/>
      <c r="D60" s="157"/>
      <c r="E60" s="157"/>
      <c r="F60" s="157" t="str">
        <f t="shared" si="23"/>
        <v/>
      </c>
      <c r="G60" s="157" t="str">
        <f t="shared" si="24"/>
        <v/>
      </c>
      <c r="H60" s="157" t="str">
        <f t="shared" si="19"/>
        <v/>
      </c>
      <c r="I60" s="157" t="e">
        <f t="shared" si="25"/>
        <v>#N/A</v>
      </c>
      <c r="J60" s="157" t="str">
        <f t="shared" ca="1" si="20"/>
        <v/>
      </c>
      <c r="K60" s="157"/>
      <c r="L60" s="157" t="str">
        <f t="shared" si="26"/>
        <v/>
      </c>
      <c r="M60" s="157" t="str">
        <f t="shared" si="27"/>
        <v/>
      </c>
      <c r="N60" s="157" t="str">
        <f t="shared" si="21"/>
        <v/>
      </c>
      <c r="O60" s="157">
        <f t="shared" si="28"/>
        <v>5</v>
      </c>
      <c r="P60" s="157" t="str">
        <f t="shared" ca="1" si="22"/>
        <v>Develop a folding bicycle incentive program</v>
      </c>
      <c r="Q60" s="157"/>
      <c r="R60" s="157"/>
      <c r="S60" s="158" t="b">
        <v>1</v>
      </c>
      <c r="AM60" s="168"/>
      <c r="AN60" s="166"/>
      <c r="AO60" s="166"/>
      <c r="AP60" s="146"/>
      <c r="AQ60" s="146"/>
      <c r="AR60" s="146"/>
      <c r="AS60" s="146"/>
      <c r="AT60" s="146"/>
      <c r="AU60" s="146"/>
      <c r="AV60" s="146"/>
      <c r="AW60" s="146"/>
      <c r="AX60" s="146"/>
      <c r="AY60" s="146"/>
      <c r="AZ60" s="146"/>
      <c r="BA60" s="146"/>
      <c r="BF60" s="159"/>
      <c r="BG60" s="159"/>
      <c r="BH60" s="159"/>
      <c r="BI60" s="159"/>
      <c r="BJ60" s="159"/>
      <c r="BK60" s="159"/>
      <c r="BL60" s="159"/>
      <c r="BM60" s="159"/>
      <c r="BN60" s="159"/>
      <c r="BO60" s="159"/>
      <c r="BP60" s="159"/>
      <c r="BQ60" s="159"/>
      <c r="BR60" s="159"/>
      <c r="BS60" s="159"/>
      <c r="BT60" s="159"/>
      <c r="BU60" s="159"/>
      <c r="BV60" s="159"/>
      <c r="BW60" s="159"/>
      <c r="BX60" s="159"/>
      <c r="BY60" s="159"/>
      <c r="BZ60" s="159"/>
      <c r="CA60" s="159"/>
    </row>
    <row r="61" spans="1:79" ht="16.5" x14ac:dyDescent="0.25">
      <c r="A61" s="640" t="s">
        <v>129</v>
      </c>
      <c r="B61" s="641"/>
      <c r="C61" s="642"/>
      <c r="D61" s="157"/>
      <c r="E61" s="157"/>
      <c r="F61" s="157" t="str">
        <f t="shared" si="23"/>
        <v/>
      </c>
      <c r="G61" s="157" t="str">
        <f t="shared" si="24"/>
        <v/>
      </c>
      <c r="H61" s="157" t="str">
        <f t="shared" si="19"/>
        <v/>
      </c>
      <c r="I61" s="157" t="e">
        <f t="shared" si="25"/>
        <v>#N/A</v>
      </c>
      <c r="J61" s="157" t="str">
        <f t="shared" ca="1" si="20"/>
        <v/>
      </c>
      <c r="K61" s="157"/>
      <c r="L61" s="157" t="str">
        <f t="shared" si="26"/>
        <v/>
      </c>
      <c r="M61" s="157" t="str">
        <f t="shared" si="27"/>
        <v/>
      </c>
      <c r="N61" s="157" t="str">
        <f t="shared" si="21"/>
        <v/>
      </c>
      <c r="O61" s="157" t="e">
        <f t="shared" si="28"/>
        <v>#N/A</v>
      </c>
      <c r="P61" s="157" t="str">
        <f t="shared" ca="1" si="22"/>
        <v/>
      </c>
      <c r="Q61" s="157"/>
      <c r="R61" s="157"/>
      <c r="S61" s="158"/>
      <c r="AM61" s="168"/>
      <c r="AN61" s="166"/>
      <c r="AO61" s="166"/>
      <c r="AP61" s="146"/>
      <c r="AQ61" s="146"/>
      <c r="AR61" s="146"/>
      <c r="AS61" s="146"/>
      <c r="AT61" s="146"/>
      <c r="AU61" s="146"/>
      <c r="AV61" s="146"/>
      <c r="AW61" s="146"/>
      <c r="AX61" s="146"/>
      <c r="AY61" s="146"/>
      <c r="AZ61" s="146"/>
      <c r="BA61" s="146"/>
      <c r="BF61" s="159"/>
      <c r="BG61" s="159"/>
      <c r="BH61" s="159"/>
      <c r="BI61" s="159"/>
      <c r="BJ61" s="159"/>
      <c r="BK61" s="159"/>
      <c r="BL61" s="159"/>
      <c r="BM61" s="159"/>
      <c r="BN61" s="159"/>
      <c r="BO61" s="159"/>
      <c r="BP61" s="159"/>
      <c r="BQ61" s="159"/>
      <c r="BR61" s="159"/>
      <c r="BS61" s="159"/>
      <c r="BT61" s="159"/>
      <c r="BU61" s="159"/>
      <c r="BV61" s="159"/>
      <c r="BW61" s="159"/>
      <c r="BX61" s="159"/>
      <c r="BY61" s="159"/>
      <c r="BZ61" s="159"/>
      <c r="CA61" s="159"/>
    </row>
    <row r="62" spans="1:79" x14ac:dyDescent="0.25">
      <c r="A62" s="237" t="s">
        <v>311</v>
      </c>
      <c r="B62" s="238"/>
      <c r="C62" s="239" t="s">
        <v>189</v>
      </c>
      <c r="D62" s="157"/>
      <c r="E62" s="157"/>
      <c r="F62" s="157" t="str">
        <f t="shared" si="23"/>
        <v/>
      </c>
      <c r="G62" s="157" t="str">
        <f t="shared" si="24"/>
        <v/>
      </c>
      <c r="H62" s="157" t="str">
        <f t="shared" si="19"/>
        <v/>
      </c>
      <c r="I62" s="157" t="e">
        <f t="shared" si="25"/>
        <v>#N/A</v>
      </c>
      <c r="J62" s="157" t="str">
        <f t="shared" ca="1" si="20"/>
        <v/>
      </c>
      <c r="K62" s="157"/>
      <c r="L62" s="157" t="str">
        <f t="shared" si="26"/>
        <v>Develop a folding bicycle incentive program</v>
      </c>
      <c r="M62" s="157">
        <f t="shared" si="27"/>
        <v>62</v>
      </c>
      <c r="N62" s="157">
        <f t="shared" si="21"/>
        <v>3</v>
      </c>
      <c r="O62" s="157" t="e">
        <f t="shared" si="28"/>
        <v>#N/A</v>
      </c>
      <c r="P62" s="157" t="str">
        <f t="shared" ca="1" si="22"/>
        <v/>
      </c>
      <c r="Q62" s="157"/>
      <c r="R62" s="157"/>
      <c r="S62" s="158" t="b">
        <v>1</v>
      </c>
      <c r="AM62" s="168"/>
      <c r="AN62" s="166"/>
      <c r="AO62" s="166"/>
      <c r="AP62" s="146"/>
      <c r="AQ62" s="146"/>
      <c r="AR62" s="146"/>
      <c r="AS62" s="146"/>
      <c r="AT62" s="146"/>
      <c r="AU62" s="146"/>
      <c r="AV62" s="146"/>
      <c r="AW62" s="146"/>
      <c r="AX62" s="146"/>
      <c r="AY62" s="146"/>
      <c r="AZ62" s="146"/>
      <c r="BA62" s="146"/>
      <c r="BF62" s="159"/>
      <c r="BG62" s="159"/>
      <c r="BH62" s="159"/>
      <c r="BI62" s="159"/>
      <c r="BJ62" s="159"/>
      <c r="BK62" s="159"/>
      <c r="BL62" s="159"/>
      <c r="BM62" s="159"/>
      <c r="BN62" s="159"/>
      <c r="BO62" s="159"/>
      <c r="BP62" s="159"/>
      <c r="BQ62" s="159"/>
      <c r="BR62" s="159"/>
      <c r="BS62" s="159"/>
      <c r="BT62" s="159"/>
      <c r="BU62" s="159"/>
      <c r="BV62" s="159"/>
      <c r="BW62" s="159"/>
      <c r="BX62" s="159"/>
      <c r="BY62" s="159"/>
      <c r="BZ62" s="159"/>
      <c r="CA62" s="159"/>
    </row>
    <row r="63" spans="1:79" x14ac:dyDescent="0.25">
      <c r="A63" s="168"/>
      <c r="B63" s="166"/>
      <c r="C63" s="169"/>
      <c r="D63" s="157"/>
      <c r="E63" s="157"/>
      <c r="F63" s="157" t="str">
        <f t="shared" si="23"/>
        <v/>
      </c>
      <c r="G63" s="157" t="str">
        <f t="shared" si="24"/>
        <v/>
      </c>
      <c r="H63" s="157" t="str">
        <f t="shared" si="19"/>
        <v/>
      </c>
      <c r="I63" s="157" t="e">
        <f t="shared" si="25"/>
        <v>#N/A</v>
      </c>
      <c r="J63" s="157" t="str">
        <f t="shared" ca="1" si="20"/>
        <v/>
      </c>
      <c r="K63" s="157"/>
      <c r="L63" s="157" t="str">
        <f t="shared" si="26"/>
        <v/>
      </c>
      <c r="M63" s="157" t="str">
        <f t="shared" si="27"/>
        <v/>
      </c>
      <c r="N63" s="157" t="str">
        <f t="shared" si="21"/>
        <v/>
      </c>
      <c r="O63" s="157" t="e">
        <f t="shared" si="28"/>
        <v>#N/A</v>
      </c>
      <c r="P63" s="157" t="str">
        <f t="shared" ca="1" si="22"/>
        <v/>
      </c>
      <c r="Q63" s="157"/>
      <c r="R63" s="157"/>
      <c r="S63" s="158"/>
      <c r="AM63" s="168"/>
      <c r="AN63" s="166"/>
      <c r="AO63" s="166"/>
      <c r="AP63" s="146"/>
      <c r="AQ63" s="146"/>
      <c r="AR63" s="146"/>
      <c r="AS63" s="146"/>
      <c r="AT63" s="146"/>
      <c r="AU63" s="146"/>
      <c r="AV63" s="146"/>
      <c r="AW63" s="146"/>
      <c r="AX63" s="146"/>
      <c r="AY63" s="146"/>
      <c r="AZ63" s="146"/>
      <c r="BA63" s="146"/>
      <c r="BF63" s="159"/>
      <c r="BG63" s="159"/>
      <c r="BH63" s="159"/>
      <c r="BI63" s="159"/>
      <c r="BJ63" s="159"/>
      <c r="BK63" s="159"/>
      <c r="BL63" s="159"/>
      <c r="BM63" s="159"/>
      <c r="BN63" s="159"/>
      <c r="BO63" s="159"/>
      <c r="BP63" s="159"/>
      <c r="BQ63" s="159"/>
      <c r="BR63" s="159"/>
      <c r="BS63" s="159"/>
      <c r="BT63" s="159"/>
      <c r="BU63" s="159"/>
      <c r="BV63" s="159"/>
      <c r="BW63" s="159"/>
      <c r="BX63" s="159"/>
      <c r="BY63" s="159"/>
      <c r="BZ63" s="159"/>
      <c r="CA63" s="159"/>
    </row>
    <row r="64" spans="1:79" ht="16.5" x14ac:dyDescent="0.25">
      <c r="A64" s="640" t="s">
        <v>128</v>
      </c>
      <c r="B64" s="641"/>
      <c r="C64" s="642"/>
      <c r="D64" s="157"/>
      <c r="E64" s="157"/>
      <c r="F64" s="157"/>
      <c r="G64" s="157"/>
      <c r="H64" s="157"/>
      <c r="I64" s="157"/>
      <c r="J64" s="157"/>
      <c r="K64" s="157"/>
      <c r="L64" s="157"/>
      <c r="M64" s="157"/>
      <c r="N64" s="157"/>
      <c r="O64" s="157"/>
      <c r="P64" s="157"/>
      <c r="Q64" s="157"/>
      <c r="R64" s="157"/>
      <c r="S64" s="158"/>
      <c r="AM64" s="168"/>
      <c r="AN64" s="166"/>
      <c r="AO64" s="166"/>
      <c r="AP64" s="146"/>
      <c r="AQ64" s="146"/>
      <c r="AR64" s="146"/>
      <c r="AS64" s="146"/>
      <c r="AT64" s="146"/>
      <c r="AU64" s="146"/>
      <c r="AV64" s="146"/>
      <c r="AW64" s="146"/>
      <c r="AX64" s="146"/>
      <c r="AY64" s="146"/>
      <c r="AZ64" s="146"/>
      <c r="BA64" s="146"/>
      <c r="BF64" s="159"/>
      <c r="BG64" s="159"/>
      <c r="BH64" s="159"/>
      <c r="BI64" s="159"/>
      <c r="BJ64" s="159"/>
      <c r="BK64" s="159"/>
      <c r="BL64" s="159"/>
      <c r="BM64" s="159"/>
      <c r="BN64" s="159"/>
      <c r="BO64" s="159"/>
      <c r="BP64" s="159"/>
      <c r="BQ64" s="159"/>
      <c r="BR64" s="159"/>
      <c r="BS64" s="159"/>
      <c r="BT64" s="159"/>
      <c r="BU64" s="159"/>
      <c r="BV64" s="159"/>
      <c r="BW64" s="159"/>
      <c r="BX64" s="159"/>
      <c r="BY64" s="159"/>
      <c r="BZ64" s="159"/>
      <c r="CA64" s="159"/>
    </row>
    <row r="65" spans="1:79" x14ac:dyDescent="0.25">
      <c r="A65" s="168"/>
      <c r="B65" s="166"/>
      <c r="C65" s="169"/>
      <c r="D65" s="157"/>
      <c r="E65" s="157"/>
      <c r="F65" s="157"/>
      <c r="G65" s="157"/>
      <c r="H65" s="157"/>
      <c r="I65" s="157"/>
      <c r="J65" s="157"/>
      <c r="K65" s="157"/>
      <c r="L65" s="157"/>
      <c r="M65" s="157"/>
      <c r="N65" s="157"/>
      <c r="O65" s="157"/>
      <c r="P65" s="157"/>
      <c r="Q65" s="157"/>
      <c r="R65" s="157"/>
      <c r="S65" s="158"/>
      <c r="AM65" s="168"/>
      <c r="AN65" s="166"/>
      <c r="AO65" s="166"/>
      <c r="AP65" s="146"/>
      <c r="AQ65" s="146"/>
      <c r="AR65" s="146"/>
      <c r="AS65" s="146"/>
      <c r="AT65" s="146"/>
      <c r="AU65" s="146"/>
      <c r="AV65" s="146"/>
      <c r="AW65" s="146"/>
      <c r="AX65" s="146"/>
      <c r="AY65" s="146"/>
      <c r="AZ65" s="146"/>
      <c r="BA65" s="146"/>
      <c r="BF65" s="159"/>
      <c r="BG65" s="159"/>
      <c r="BH65" s="159"/>
      <c r="BI65" s="159"/>
      <c r="BJ65" s="159"/>
      <c r="BK65" s="159"/>
      <c r="BL65" s="159"/>
      <c r="BM65" s="159"/>
      <c r="BN65" s="159"/>
      <c r="BO65" s="159"/>
      <c r="BP65" s="159"/>
      <c r="BQ65" s="159"/>
      <c r="BR65" s="159"/>
      <c r="BS65" s="159"/>
      <c r="BT65" s="159"/>
      <c r="BU65" s="159"/>
      <c r="BV65" s="159"/>
      <c r="BW65" s="159"/>
      <c r="BX65" s="159"/>
      <c r="BY65" s="159"/>
      <c r="BZ65" s="159"/>
      <c r="CA65" s="159"/>
    </row>
    <row r="66" spans="1:79" x14ac:dyDescent="0.25">
      <c r="A66" s="168"/>
      <c r="B66" s="166"/>
      <c r="C66" s="169"/>
      <c r="D66" s="157"/>
      <c r="E66" s="157"/>
      <c r="F66" s="157"/>
      <c r="G66" s="157"/>
      <c r="H66" s="157"/>
      <c r="I66" s="157"/>
      <c r="J66" s="157"/>
      <c r="K66" s="157"/>
      <c r="L66" s="157"/>
      <c r="M66" s="157"/>
      <c r="N66" s="157"/>
      <c r="O66" s="157"/>
      <c r="P66" s="157"/>
      <c r="Q66" s="157"/>
      <c r="R66" s="157"/>
      <c r="S66" s="157"/>
      <c r="AM66" s="168"/>
      <c r="AN66" s="166"/>
      <c r="AO66" s="166"/>
      <c r="AP66" s="146"/>
      <c r="AQ66" s="146"/>
      <c r="AR66" s="146"/>
      <c r="AS66" s="146"/>
      <c r="AT66" s="146"/>
      <c r="AU66" s="146"/>
      <c r="AV66" s="146"/>
      <c r="AW66" s="146"/>
      <c r="AX66" s="146"/>
      <c r="AY66" s="146"/>
      <c r="AZ66" s="146"/>
      <c r="BA66" s="146"/>
      <c r="BF66" s="159"/>
      <c r="BG66" s="159"/>
      <c r="BH66" s="159"/>
      <c r="BI66" s="159"/>
      <c r="BJ66" s="159"/>
      <c r="BK66" s="159"/>
      <c r="BL66" s="159"/>
      <c r="BM66" s="159"/>
      <c r="BN66" s="159"/>
      <c r="BO66" s="159"/>
      <c r="BP66" s="159"/>
      <c r="BQ66" s="159"/>
      <c r="BR66" s="159"/>
      <c r="BS66" s="159"/>
      <c r="BT66" s="159"/>
      <c r="BU66" s="159"/>
      <c r="BV66" s="159"/>
      <c r="BW66" s="159"/>
      <c r="BX66" s="159"/>
      <c r="BY66" s="159"/>
      <c r="BZ66" s="159"/>
      <c r="CA66" s="159"/>
    </row>
    <row r="67" spans="1:79" x14ac:dyDescent="0.25">
      <c r="A67" s="168"/>
      <c r="B67" s="166"/>
      <c r="C67" s="169"/>
      <c r="D67" s="157"/>
      <c r="E67" s="157"/>
      <c r="F67" s="157"/>
      <c r="G67" s="157"/>
      <c r="H67" s="157"/>
      <c r="I67" s="157"/>
      <c r="J67" s="157"/>
      <c r="K67" s="157"/>
      <c r="L67" s="157"/>
      <c r="M67" s="157"/>
      <c r="N67" s="157"/>
      <c r="O67" s="157"/>
      <c r="P67" s="157"/>
      <c r="Q67" s="157"/>
      <c r="R67" s="157"/>
      <c r="S67" s="157"/>
      <c r="AM67" s="168"/>
      <c r="AN67" s="166"/>
      <c r="AO67" s="166"/>
      <c r="AP67" s="146"/>
      <c r="AQ67" s="146"/>
      <c r="AR67" s="146"/>
      <c r="AS67" s="146"/>
      <c r="AT67" s="146"/>
      <c r="AU67" s="146"/>
      <c r="AV67" s="146"/>
      <c r="AW67" s="146"/>
      <c r="AX67" s="146"/>
      <c r="AY67" s="146"/>
      <c r="AZ67" s="146"/>
      <c r="BA67" s="146"/>
      <c r="BF67" s="159"/>
      <c r="BG67" s="159"/>
      <c r="BH67" s="159"/>
      <c r="BI67" s="159"/>
      <c r="BJ67" s="159"/>
      <c r="BK67" s="159"/>
      <c r="BL67" s="159"/>
      <c r="BM67" s="159"/>
      <c r="BN67" s="159"/>
      <c r="BO67" s="159"/>
      <c r="BP67" s="159"/>
      <c r="BQ67" s="159"/>
      <c r="BR67" s="159"/>
      <c r="BS67" s="159"/>
      <c r="BT67" s="159"/>
      <c r="BU67" s="159"/>
      <c r="BV67" s="159"/>
      <c r="BW67" s="159"/>
      <c r="BX67" s="159"/>
      <c r="BY67" s="159"/>
      <c r="BZ67" s="159"/>
      <c r="CA67" s="159"/>
    </row>
    <row r="68" spans="1:79" x14ac:dyDescent="0.25">
      <c r="A68" s="168"/>
      <c r="B68" s="166"/>
      <c r="C68" s="169"/>
      <c r="D68" s="258"/>
      <c r="E68" s="258"/>
      <c r="F68" s="258"/>
      <c r="G68" s="258"/>
      <c r="H68" s="258"/>
      <c r="I68" s="258"/>
      <c r="J68" s="258"/>
      <c r="K68" s="258"/>
      <c r="L68" s="258"/>
      <c r="M68" s="258"/>
      <c r="N68" s="258"/>
      <c r="O68" s="258"/>
      <c r="P68" s="258"/>
      <c r="Q68" s="258"/>
      <c r="R68" s="258"/>
      <c r="S68" s="258"/>
      <c r="AM68" s="251"/>
      <c r="AN68" s="252"/>
      <c r="AO68" s="252"/>
      <c r="AP68" s="146"/>
      <c r="AQ68" s="146"/>
      <c r="AR68" s="146"/>
      <c r="AS68" s="146"/>
      <c r="AT68" s="146"/>
      <c r="AU68" s="146"/>
      <c r="AV68" s="146"/>
      <c r="AW68" s="146"/>
      <c r="AX68" s="146"/>
      <c r="AY68" s="146"/>
      <c r="AZ68" s="146"/>
      <c r="BA68" s="146"/>
      <c r="BF68" s="159"/>
      <c r="BG68" s="159"/>
      <c r="BH68" s="159"/>
      <c r="BI68" s="159"/>
      <c r="BJ68" s="159"/>
      <c r="BK68" s="159"/>
      <c r="BL68" s="159"/>
      <c r="BM68" s="159"/>
      <c r="BN68" s="159"/>
      <c r="BO68" s="159"/>
      <c r="BP68" s="159"/>
      <c r="BQ68" s="159"/>
      <c r="BR68" s="159"/>
      <c r="BS68" s="159"/>
      <c r="BT68" s="159"/>
      <c r="BU68" s="159"/>
      <c r="BV68" s="159"/>
      <c r="BW68" s="159"/>
      <c r="BX68" s="159"/>
      <c r="BY68" s="159"/>
      <c r="BZ68" s="159"/>
      <c r="CA68" s="159"/>
    </row>
    <row r="69" spans="1:79" x14ac:dyDescent="0.25">
      <c r="A69" s="168"/>
      <c r="B69" s="166"/>
      <c r="C69" s="169"/>
      <c r="D69" s="258"/>
      <c r="E69" s="258"/>
      <c r="F69" s="258"/>
      <c r="G69" s="258"/>
      <c r="H69" s="258"/>
      <c r="I69" s="258"/>
      <c r="J69" s="258"/>
      <c r="K69" s="258"/>
      <c r="L69" s="258"/>
      <c r="M69" s="258"/>
      <c r="N69" s="258"/>
      <c r="O69" s="258"/>
      <c r="P69" s="258"/>
      <c r="Q69" s="258"/>
      <c r="R69" s="258"/>
      <c r="S69" s="258"/>
      <c r="AM69" s="251"/>
      <c r="AN69" s="252"/>
      <c r="AO69" s="252"/>
      <c r="AP69" s="146"/>
      <c r="AQ69" s="146"/>
      <c r="AR69" s="146"/>
      <c r="AS69" s="146"/>
      <c r="AT69" s="146"/>
      <c r="AU69" s="146"/>
      <c r="AV69" s="146"/>
      <c r="AW69" s="146"/>
      <c r="AX69" s="146"/>
      <c r="AY69" s="146"/>
      <c r="AZ69" s="146"/>
      <c r="BA69" s="146"/>
      <c r="BF69" s="159"/>
      <c r="BG69" s="159"/>
      <c r="BH69" s="159"/>
      <c r="BI69" s="159"/>
      <c r="BJ69" s="159"/>
      <c r="BK69" s="159"/>
      <c r="BL69" s="159"/>
      <c r="BM69" s="159"/>
      <c r="BN69" s="159"/>
      <c r="BO69" s="159"/>
      <c r="BP69" s="159"/>
      <c r="BQ69" s="159"/>
      <c r="BR69" s="159"/>
      <c r="BS69" s="159"/>
      <c r="BT69" s="159"/>
      <c r="BU69" s="159"/>
      <c r="BV69" s="159"/>
      <c r="BW69" s="159"/>
      <c r="BX69" s="159"/>
      <c r="BY69" s="159"/>
      <c r="BZ69" s="159"/>
      <c r="CA69" s="159"/>
    </row>
    <row r="70" spans="1:79" x14ac:dyDescent="0.25">
      <c r="A70" s="253"/>
      <c r="B70" s="254"/>
      <c r="C70" s="255"/>
      <c r="D70" s="259"/>
      <c r="E70" s="259"/>
      <c r="F70" s="259"/>
      <c r="G70" s="259"/>
      <c r="H70" s="259"/>
      <c r="I70" s="259"/>
      <c r="J70" s="259"/>
      <c r="K70" s="259"/>
      <c r="L70" s="259"/>
      <c r="M70" s="259"/>
      <c r="N70" s="259"/>
      <c r="O70" s="259"/>
      <c r="P70" s="259"/>
      <c r="Q70" s="259"/>
      <c r="R70" s="259"/>
      <c r="S70" s="259"/>
      <c r="AM70" s="251"/>
      <c r="AN70" s="252"/>
      <c r="AO70" s="252"/>
      <c r="AP70" s="146"/>
      <c r="AQ70" s="146"/>
      <c r="AR70" s="146"/>
      <c r="AS70" s="146"/>
      <c r="AT70" s="146"/>
      <c r="AU70" s="146"/>
      <c r="AV70" s="146"/>
      <c r="AW70" s="146"/>
      <c r="AX70" s="146"/>
      <c r="AY70" s="146"/>
      <c r="AZ70" s="146"/>
      <c r="BA70" s="146"/>
      <c r="BF70" s="159"/>
      <c r="BG70" s="159"/>
      <c r="BH70" s="159"/>
      <c r="BI70" s="159"/>
      <c r="BJ70" s="159"/>
      <c r="BK70" s="159"/>
      <c r="BL70" s="159"/>
      <c r="BM70" s="159"/>
      <c r="BN70" s="159"/>
      <c r="BO70" s="159"/>
      <c r="BP70" s="159"/>
      <c r="BQ70" s="159"/>
      <c r="BR70" s="159"/>
      <c r="BS70" s="159"/>
      <c r="BT70" s="159"/>
      <c r="BU70" s="159"/>
      <c r="BV70" s="159"/>
      <c r="BW70" s="159"/>
      <c r="BX70" s="159"/>
      <c r="BY70" s="159"/>
      <c r="BZ70" s="159"/>
      <c r="CA70" s="159"/>
    </row>
    <row r="71" spans="1:79" ht="23.25" x14ac:dyDescent="0.25">
      <c r="A71" s="637" t="s">
        <v>270</v>
      </c>
      <c r="B71" s="638"/>
      <c r="C71" s="639"/>
      <c r="D71" s="166"/>
      <c r="E71" s="166"/>
      <c r="F71" s="166"/>
      <c r="G71" s="166"/>
      <c r="H71" s="166"/>
      <c r="I71" s="166"/>
      <c r="J71" s="166"/>
      <c r="K71" s="166"/>
      <c r="L71" s="166"/>
      <c r="M71" s="166"/>
      <c r="N71" s="166"/>
      <c r="O71" s="166"/>
      <c r="P71" s="166"/>
      <c r="Q71" s="166"/>
      <c r="R71" s="166"/>
      <c r="S71" s="167"/>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46"/>
      <c r="AQ71" s="146"/>
      <c r="AR71" s="146"/>
      <c r="AS71" s="146"/>
      <c r="AT71" s="146"/>
      <c r="AU71" s="146"/>
      <c r="AV71" s="146"/>
      <c r="AW71" s="146"/>
      <c r="AX71" s="146"/>
      <c r="AY71" s="146"/>
      <c r="AZ71" s="146"/>
      <c r="BA71" s="146"/>
      <c r="BF71" s="159"/>
      <c r="BG71" s="159"/>
      <c r="BH71" s="159"/>
      <c r="BI71" s="159"/>
      <c r="BJ71" s="159"/>
      <c r="BK71" s="159"/>
      <c r="BL71" s="159"/>
      <c r="BM71" s="159"/>
      <c r="BN71" s="159"/>
      <c r="BO71" s="159"/>
      <c r="BP71" s="159"/>
      <c r="BQ71" s="159"/>
      <c r="BR71" s="159"/>
      <c r="BS71" s="159"/>
      <c r="BT71" s="159"/>
      <c r="BU71" s="159"/>
      <c r="BV71" s="159"/>
      <c r="BW71" s="159"/>
      <c r="BX71" s="159"/>
      <c r="BY71" s="159"/>
      <c r="BZ71" s="159"/>
      <c r="CA71" s="159"/>
    </row>
    <row r="72" spans="1:79" x14ac:dyDescent="0.25">
      <c r="A72" s="234" t="s">
        <v>125</v>
      </c>
      <c r="B72" s="235" t="s">
        <v>130</v>
      </c>
      <c r="C72" s="236" t="s">
        <v>187</v>
      </c>
      <c r="D72" s="166"/>
      <c r="E72" s="166"/>
      <c r="F72" s="166"/>
      <c r="G72" s="166"/>
      <c r="H72" s="166"/>
      <c r="I72" s="166"/>
      <c r="J72" s="166"/>
      <c r="K72" s="166"/>
      <c r="L72" s="166"/>
      <c r="M72" s="166"/>
      <c r="N72" s="166"/>
      <c r="O72" s="166"/>
      <c r="P72" s="166"/>
      <c r="Q72" s="166"/>
      <c r="R72" s="166"/>
      <c r="S72" s="167"/>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F72" s="159"/>
      <c r="BG72" s="159"/>
      <c r="BH72" s="159"/>
      <c r="BI72" s="159"/>
      <c r="BJ72" s="159"/>
      <c r="BK72" s="159"/>
      <c r="BL72" s="159"/>
      <c r="BM72" s="159"/>
      <c r="BN72" s="159"/>
      <c r="BO72" s="159"/>
      <c r="BP72" s="159"/>
      <c r="BQ72" s="159"/>
      <c r="BR72" s="159"/>
      <c r="BS72" s="159"/>
      <c r="BT72" s="159"/>
      <c r="BU72" s="159"/>
      <c r="BV72" s="159"/>
      <c r="BW72" s="159"/>
      <c r="BX72" s="159"/>
      <c r="BY72" s="159"/>
      <c r="BZ72" s="159"/>
      <c r="CA72" s="159"/>
    </row>
    <row r="73" spans="1:79" ht="16.5" x14ac:dyDescent="0.25">
      <c r="A73" s="640" t="s">
        <v>126</v>
      </c>
      <c r="B73" s="641"/>
      <c r="C73" s="642"/>
      <c r="D73" s="166"/>
      <c r="E73" s="166"/>
      <c r="F73" s="157" t="s">
        <v>244</v>
      </c>
      <c r="G73" s="157" t="s">
        <v>246</v>
      </c>
      <c r="H73" s="157" t="s">
        <v>247</v>
      </c>
      <c r="I73" s="157" t="s">
        <v>248</v>
      </c>
      <c r="J73" s="157" t="s">
        <v>249</v>
      </c>
      <c r="K73" s="157"/>
      <c r="L73" s="157" t="s">
        <v>245</v>
      </c>
      <c r="M73" s="157" t="s">
        <v>251</v>
      </c>
      <c r="N73" s="157" t="s">
        <v>250</v>
      </c>
      <c r="O73" s="157" t="s">
        <v>253</v>
      </c>
      <c r="P73" s="157" t="s">
        <v>252</v>
      </c>
      <c r="Q73" s="157"/>
      <c r="R73" s="157"/>
      <c r="S73" s="158"/>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F73" s="159"/>
      <c r="BG73" s="159"/>
      <c r="BH73" s="159"/>
      <c r="BI73" s="159"/>
      <c r="BJ73" s="159"/>
      <c r="BK73" s="159"/>
      <c r="BL73" s="159"/>
      <c r="BM73" s="159"/>
      <c r="BN73" s="159"/>
      <c r="BO73" s="159"/>
      <c r="BP73" s="159"/>
      <c r="BQ73" s="159"/>
      <c r="BR73" s="159"/>
      <c r="BS73" s="159"/>
      <c r="BT73" s="159"/>
      <c r="BU73" s="159"/>
      <c r="BV73" s="159"/>
      <c r="BW73" s="159"/>
      <c r="BX73" s="159"/>
      <c r="BY73" s="159"/>
      <c r="BZ73" s="159"/>
      <c r="CA73" s="159"/>
    </row>
    <row r="74" spans="1:79" x14ac:dyDescent="0.25">
      <c r="A74" s="237" t="s">
        <v>312</v>
      </c>
      <c r="B74" s="238"/>
      <c r="C74" s="239" t="s">
        <v>189</v>
      </c>
      <c r="D74" s="166"/>
      <c r="E74" s="166"/>
      <c r="F74" s="157" t="str">
        <f>IF(AND(S74=TRUE,C74="Station"),A74,"")</f>
        <v/>
      </c>
      <c r="G74" s="157" t="str">
        <f>IF(F74="","",ROW())</f>
        <v/>
      </c>
      <c r="H74" s="157" t="str">
        <f t="shared" ref="H74:H82" si="29">IF(G74="","",RANK(G74,G$74:G$82,-1))</f>
        <v/>
      </c>
      <c r="I74" s="157" t="e">
        <f>MATCH(ROW()-73,H$74:H$82,0)</f>
        <v>#N/A</v>
      </c>
      <c r="J74" s="157" t="str">
        <f t="shared" ref="J74:J82" ca="1" si="30">IFERROR(OFFSET(F$74,-1+I74,0),"")</f>
        <v/>
      </c>
      <c r="K74" s="157"/>
      <c r="L74" s="157" t="str">
        <f>IF(AND(S74=TRUE,C74="Systemwide"),A74,"")</f>
        <v>Educate passengers and staff in order to encourage bicycle access</v>
      </c>
      <c r="M74" s="157">
        <f>IF(L74="","",ROW())</f>
        <v>74</v>
      </c>
      <c r="N74" s="157">
        <f t="shared" ref="N74:N82" si="31">IF(M74="","",RANK(M74,M$74:M$82,-1))</f>
        <v>1</v>
      </c>
      <c r="O74" s="157">
        <f>MATCH(ROW()-73,N$74:N$82,0)</f>
        <v>1</v>
      </c>
      <c r="P74" s="157" t="str">
        <f t="shared" ref="P74:P82" ca="1" si="32">IFERROR(OFFSET(L$74,-1+O74,0),"")</f>
        <v>Educate passengers and staff in order to encourage bicycle access</v>
      </c>
      <c r="Q74" s="157"/>
      <c r="R74" s="157"/>
      <c r="S74" s="158" t="b">
        <v>1</v>
      </c>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F74" s="159"/>
      <c r="BG74" s="159"/>
      <c r="BH74" s="159"/>
      <c r="BI74" s="159"/>
      <c r="BJ74" s="159"/>
      <c r="BK74" s="159"/>
      <c r="BL74" s="159"/>
      <c r="BM74" s="159"/>
      <c r="BN74" s="159"/>
      <c r="BO74" s="159"/>
      <c r="BP74" s="159"/>
      <c r="BQ74" s="159"/>
      <c r="BR74" s="159"/>
      <c r="BS74" s="159"/>
      <c r="BT74" s="159"/>
      <c r="BU74" s="159"/>
      <c r="BV74" s="159"/>
      <c r="BW74" s="159"/>
      <c r="BX74" s="159"/>
      <c r="BY74" s="159"/>
      <c r="BZ74" s="159"/>
      <c r="CA74" s="159"/>
    </row>
    <row r="75" spans="1:79" x14ac:dyDescent="0.25">
      <c r="A75" s="237" t="s">
        <v>313</v>
      </c>
      <c r="B75" s="238"/>
      <c r="C75" s="239" t="s">
        <v>189</v>
      </c>
      <c r="D75" s="166"/>
      <c r="E75" s="166"/>
      <c r="F75" s="157" t="str">
        <f t="shared" ref="F75:F82" si="33">IF(AND(S75=TRUE,C75="Station"),A75,"")</f>
        <v/>
      </c>
      <c r="G75" s="157" t="str">
        <f t="shared" ref="G75:G82" si="34">IF(F75="","",ROW())</f>
        <v/>
      </c>
      <c r="H75" s="157" t="str">
        <f t="shared" si="29"/>
        <v/>
      </c>
      <c r="I75" s="157" t="e">
        <f t="shared" ref="I75:I82" si="35">MATCH(ROW()-73,H$74:H$82,0)</f>
        <v>#N/A</v>
      </c>
      <c r="J75" s="157" t="str">
        <f t="shared" ca="1" si="30"/>
        <v/>
      </c>
      <c r="K75" s="157"/>
      <c r="L75" s="157" t="str">
        <f t="shared" ref="L75:L82" si="36">IF(AND(S75=TRUE,C75="Systemwide"),A75,"")</f>
        <v>Improve communications with BART customers on bicycle policies</v>
      </c>
      <c r="M75" s="157">
        <f t="shared" ref="M75:M82" si="37">IF(L75="","",ROW())</f>
        <v>75</v>
      </c>
      <c r="N75" s="157">
        <f t="shared" si="31"/>
        <v>2</v>
      </c>
      <c r="O75" s="157">
        <f t="shared" ref="O75:O82" si="38">MATCH(ROW()-73,N$74:N$82,0)</f>
        <v>2</v>
      </c>
      <c r="P75" s="157" t="str">
        <f t="shared" ca="1" si="32"/>
        <v>Improve communications with BART customers on bicycle policies</v>
      </c>
      <c r="Q75" s="157"/>
      <c r="R75" s="157"/>
      <c r="S75" s="158" t="b">
        <v>1</v>
      </c>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F75" s="159"/>
      <c r="BG75" s="159"/>
      <c r="BH75" s="159"/>
      <c r="BI75" s="159"/>
      <c r="BJ75" s="159"/>
      <c r="BK75" s="159"/>
      <c r="BL75" s="159"/>
      <c r="BM75" s="159"/>
      <c r="BN75" s="159"/>
      <c r="BO75" s="159"/>
      <c r="BP75" s="159"/>
      <c r="BQ75" s="159"/>
      <c r="BR75" s="159"/>
      <c r="BS75" s="159"/>
      <c r="BT75" s="159"/>
      <c r="BU75" s="159"/>
      <c r="BV75" s="159"/>
      <c r="BW75" s="159"/>
      <c r="BX75" s="159"/>
      <c r="BY75" s="159"/>
      <c r="BZ75" s="159"/>
      <c r="CA75" s="159"/>
    </row>
    <row r="76" spans="1:79" x14ac:dyDescent="0.25">
      <c r="A76" s="237" t="s">
        <v>135</v>
      </c>
      <c r="B76" s="238"/>
      <c r="C76" s="239" t="s">
        <v>189</v>
      </c>
      <c r="D76" s="166"/>
      <c r="E76" s="166"/>
      <c r="F76" s="157" t="str">
        <f t="shared" si="33"/>
        <v/>
      </c>
      <c r="G76" s="157" t="str">
        <f t="shared" si="34"/>
        <v/>
      </c>
      <c r="H76" s="157" t="str">
        <f t="shared" si="29"/>
        <v/>
      </c>
      <c r="I76" s="157" t="e">
        <f t="shared" si="35"/>
        <v>#N/A</v>
      </c>
      <c r="J76" s="157" t="str">
        <f t="shared" ca="1" si="30"/>
        <v/>
      </c>
      <c r="K76" s="157"/>
      <c r="L76" s="157" t="str">
        <f t="shared" si="36"/>
        <v>Collect access mode data before/after bike improvements</v>
      </c>
      <c r="M76" s="157">
        <f t="shared" si="37"/>
        <v>76</v>
      </c>
      <c r="N76" s="157">
        <f t="shared" si="31"/>
        <v>3</v>
      </c>
      <c r="O76" s="157">
        <f t="shared" si="38"/>
        <v>3</v>
      </c>
      <c r="P76" s="157" t="str">
        <f t="shared" ca="1" si="32"/>
        <v>Collect access mode data before/after bike improvements</v>
      </c>
      <c r="Q76" s="157"/>
      <c r="R76" s="157"/>
      <c r="S76" s="158" t="b">
        <v>1</v>
      </c>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F76" s="159"/>
      <c r="BG76" s="159"/>
      <c r="BH76" s="159"/>
      <c r="BI76" s="159"/>
      <c r="BJ76" s="159"/>
      <c r="BK76" s="159"/>
      <c r="BL76" s="159"/>
      <c r="BM76" s="159"/>
      <c r="BN76" s="159"/>
      <c r="BO76" s="159"/>
      <c r="BP76" s="159"/>
      <c r="BQ76" s="159"/>
      <c r="BR76" s="159"/>
      <c r="BS76" s="159"/>
      <c r="BT76" s="159"/>
      <c r="BU76" s="159"/>
      <c r="BV76" s="159"/>
      <c r="BW76" s="159"/>
      <c r="BX76" s="159"/>
      <c r="BY76" s="159"/>
      <c r="BZ76" s="159"/>
      <c r="CA76" s="159"/>
    </row>
    <row r="77" spans="1:79" x14ac:dyDescent="0.25">
      <c r="A77" s="237" t="s">
        <v>314</v>
      </c>
      <c r="B77" s="238"/>
      <c r="C77" s="239" t="s">
        <v>189</v>
      </c>
      <c r="D77" s="166"/>
      <c r="E77" s="166"/>
      <c r="F77" s="157" t="str">
        <f t="shared" si="33"/>
        <v/>
      </c>
      <c r="G77" s="157" t="str">
        <f t="shared" si="34"/>
        <v/>
      </c>
      <c r="H77" s="157" t="str">
        <f t="shared" si="29"/>
        <v/>
      </c>
      <c r="I77" s="157" t="e">
        <f t="shared" si="35"/>
        <v>#N/A</v>
      </c>
      <c r="J77" s="157" t="str">
        <f t="shared" ca="1" si="30"/>
        <v/>
      </c>
      <c r="K77" s="157"/>
      <c r="L77" s="157" t="str">
        <f t="shared" si="36"/>
        <v>Evaluate and increase automobile parking fees</v>
      </c>
      <c r="M77" s="157">
        <f t="shared" si="37"/>
        <v>77</v>
      </c>
      <c r="N77" s="157">
        <f t="shared" si="31"/>
        <v>4</v>
      </c>
      <c r="O77" s="157">
        <f t="shared" si="38"/>
        <v>4</v>
      </c>
      <c r="P77" s="157" t="str">
        <f t="shared" ca="1" si="32"/>
        <v>Evaluate and increase automobile parking fees</v>
      </c>
      <c r="Q77" s="157"/>
      <c r="R77" s="157"/>
      <c r="S77" s="158" t="b">
        <v>1</v>
      </c>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F77" s="159"/>
      <c r="BG77" s="159"/>
      <c r="BH77" s="159"/>
      <c r="BI77" s="159"/>
      <c r="BJ77" s="159"/>
      <c r="BK77" s="159"/>
      <c r="BL77" s="159"/>
      <c r="BM77" s="159"/>
      <c r="BN77" s="159"/>
      <c r="BO77" s="159"/>
      <c r="BP77" s="159"/>
      <c r="BQ77" s="159"/>
      <c r="BR77" s="159"/>
      <c r="BS77" s="159"/>
      <c r="BT77" s="159"/>
      <c r="BU77" s="159"/>
      <c r="BV77" s="159"/>
      <c r="BW77" s="159"/>
      <c r="BX77" s="159"/>
      <c r="BY77" s="159"/>
      <c r="BZ77" s="159"/>
      <c r="CA77" s="159"/>
    </row>
    <row r="78" spans="1:79" x14ac:dyDescent="0.25">
      <c r="A78" s="237" t="s">
        <v>227</v>
      </c>
      <c r="B78" s="238"/>
      <c r="C78" s="239" t="s">
        <v>189</v>
      </c>
      <c r="D78" s="166"/>
      <c r="E78" s="166"/>
      <c r="F78" s="157" t="str">
        <f t="shared" si="33"/>
        <v/>
      </c>
      <c r="G78" s="157" t="str">
        <f t="shared" si="34"/>
        <v/>
      </c>
      <c r="H78" s="157" t="str">
        <f t="shared" si="29"/>
        <v/>
      </c>
      <c r="I78" s="157" t="e">
        <f t="shared" si="35"/>
        <v>#N/A</v>
      </c>
      <c r="J78" s="157" t="str">
        <f t="shared" ca="1" si="30"/>
        <v/>
      </c>
      <c r="K78" s="157"/>
      <c r="L78" s="157" t="str">
        <f t="shared" si="36"/>
        <v>Participate in more bike-to-work day events</v>
      </c>
      <c r="M78" s="157">
        <f t="shared" si="37"/>
        <v>78</v>
      </c>
      <c r="N78" s="157">
        <f t="shared" si="31"/>
        <v>5</v>
      </c>
      <c r="O78" s="157">
        <f t="shared" si="38"/>
        <v>5</v>
      </c>
      <c r="P78" s="157" t="str">
        <f t="shared" ca="1" si="32"/>
        <v>Participate in more bike-to-work day events</v>
      </c>
      <c r="Q78" s="157"/>
      <c r="R78" s="157"/>
      <c r="S78" s="158" t="b">
        <v>1</v>
      </c>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F78" s="159"/>
      <c r="BG78" s="159"/>
      <c r="BH78" s="159"/>
      <c r="BI78" s="159"/>
      <c r="BJ78" s="159"/>
      <c r="BK78" s="159"/>
      <c r="BL78" s="159"/>
      <c r="BM78" s="159"/>
      <c r="BN78" s="159"/>
      <c r="BO78" s="159"/>
      <c r="BP78" s="159"/>
      <c r="BQ78" s="159"/>
      <c r="BR78" s="159"/>
      <c r="BS78" s="159"/>
      <c r="BT78" s="159"/>
      <c r="BU78" s="159"/>
      <c r="BV78" s="159"/>
      <c r="BW78" s="159"/>
      <c r="BX78" s="159"/>
      <c r="BY78" s="159"/>
      <c r="BZ78" s="159"/>
      <c r="CA78" s="159"/>
    </row>
    <row r="79" spans="1:79" x14ac:dyDescent="0.25">
      <c r="A79" s="168"/>
      <c r="B79" s="241"/>
      <c r="C79" s="242"/>
      <c r="D79" s="166"/>
      <c r="E79" s="166"/>
      <c r="F79" s="157" t="str">
        <f t="shared" si="33"/>
        <v/>
      </c>
      <c r="G79" s="157" t="str">
        <f t="shared" si="34"/>
        <v/>
      </c>
      <c r="H79" s="157" t="str">
        <f t="shared" si="29"/>
        <v/>
      </c>
      <c r="I79" s="157" t="e">
        <f t="shared" si="35"/>
        <v>#N/A</v>
      </c>
      <c r="J79" s="157" t="str">
        <f t="shared" ca="1" si="30"/>
        <v/>
      </c>
      <c r="K79" s="157"/>
      <c r="L79" s="157" t="str">
        <f t="shared" si="36"/>
        <v/>
      </c>
      <c r="M79" s="157" t="str">
        <f t="shared" si="37"/>
        <v/>
      </c>
      <c r="N79" s="157" t="str">
        <f t="shared" si="31"/>
        <v/>
      </c>
      <c r="O79" s="157">
        <f t="shared" si="38"/>
        <v>8</v>
      </c>
      <c r="P79" s="157" t="str">
        <f t="shared" ca="1" si="32"/>
        <v>Create station standards for bike facilities</v>
      </c>
      <c r="Q79" s="157"/>
      <c r="R79" s="157"/>
      <c r="S79" s="158" t="b">
        <v>1</v>
      </c>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F79" s="159"/>
      <c r="BG79" s="159"/>
      <c r="BH79" s="159"/>
      <c r="BI79" s="159"/>
      <c r="BJ79" s="159"/>
      <c r="BK79" s="159"/>
      <c r="BL79" s="159"/>
      <c r="BM79" s="159"/>
      <c r="BN79" s="159"/>
      <c r="BO79" s="159"/>
      <c r="BP79" s="159"/>
      <c r="BQ79" s="159"/>
      <c r="BR79" s="159"/>
      <c r="BS79" s="159"/>
      <c r="BT79" s="159"/>
      <c r="BU79" s="159"/>
      <c r="BV79" s="159"/>
      <c r="BW79" s="159"/>
      <c r="BX79" s="159"/>
      <c r="BY79" s="159"/>
      <c r="BZ79" s="159"/>
      <c r="CA79" s="159"/>
    </row>
    <row r="80" spans="1:79" ht="16.5" x14ac:dyDescent="0.25">
      <c r="A80" s="640" t="s">
        <v>129</v>
      </c>
      <c r="B80" s="641"/>
      <c r="C80" s="642"/>
      <c r="D80" s="166"/>
      <c r="E80" s="166"/>
      <c r="F80" s="157" t="str">
        <f t="shared" si="33"/>
        <v/>
      </c>
      <c r="G80" s="157" t="str">
        <f t="shared" si="34"/>
        <v/>
      </c>
      <c r="H80" s="157" t="str">
        <f t="shared" si="29"/>
        <v/>
      </c>
      <c r="I80" s="157" t="e">
        <f t="shared" si="35"/>
        <v>#N/A</v>
      </c>
      <c r="J80" s="157" t="str">
        <f t="shared" ca="1" si="30"/>
        <v/>
      </c>
      <c r="K80" s="157"/>
      <c r="L80" s="157" t="str">
        <f t="shared" si="36"/>
        <v/>
      </c>
      <c r="M80" s="157" t="str">
        <f t="shared" si="37"/>
        <v/>
      </c>
      <c r="N80" s="157" t="str">
        <f t="shared" si="31"/>
        <v/>
      </c>
      <c r="O80" s="157">
        <f t="shared" si="38"/>
        <v>9</v>
      </c>
      <c r="P80" s="157" t="str">
        <f t="shared" ca="1" si="32"/>
        <v>Bikes benefit everyone campaign</v>
      </c>
      <c r="Q80" s="157"/>
      <c r="R80" s="157"/>
      <c r="S80" s="158"/>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F80" s="159"/>
      <c r="BG80" s="159"/>
      <c r="BH80" s="159"/>
      <c r="BI80" s="159"/>
      <c r="BJ80" s="159"/>
      <c r="BK80" s="159"/>
      <c r="BL80" s="159"/>
      <c r="BM80" s="159"/>
      <c r="BN80" s="159"/>
      <c r="BO80" s="159"/>
      <c r="BP80" s="159"/>
      <c r="BQ80" s="159"/>
      <c r="BR80" s="159"/>
      <c r="BS80" s="159"/>
      <c r="BT80" s="159"/>
      <c r="BU80" s="159"/>
      <c r="BV80" s="159"/>
      <c r="BW80" s="159"/>
      <c r="BX80" s="159"/>
      <c r="BY80" s="159"/>
      <c r="BZ80" s="159"/>
      <c r="CA80" s="159"/>
    </row>
    <row r="81" spans="1:79" x14ac:dyDescent="0.25">
      <c r="A81" s="240" t="s">
        <v>136</v>
      </c>
      <c r="B81" s="243"/>
      <c r="C81" s="239" t="s">
        <v>189</v>
      </c>
      <c r="D81" s="166"/>
      <c r="E81" s="166"/>
      <c r="F81" s="157" t="str">
        <f t="shared" si="33"/>
        <v/>
      </c>
      <c r="G81" s="157" t="str">
        <f t="shared" si="34"/>
        <v/>
      </c>
      <c r="H81" s="157" t="str">
        <f t="shared" si="29"/>
        <v/>
      </c>
      <c r="I81" s="157" t="e">
        <f t="shared" si="35"/>
        <v>#N/A</v>
      </c>
      <c r="J81" s="157" t="str">
        <f t="shared" ca="1" si="30"/>
        <v/>
      </c>
      <c r="K81" s="157"/>
      <c r="L81" s="157" t="str">
        <f t="shared" si="36"/>
        <v>Create station standards for bike facilities</v>
      </c>
      <c r="M81" s="157">
        <f t="shared" si="37"/>
        <v>81</v>
      </c>
      <c r="N81" s="157">
        <f t="shared" si="31"/>
        <v>6</v>
      </c>
      <c r="O81" s="157" t="e">
        <f t="shared" si="38"/>
        <v>#N/A</v>
      </c>
      <c r="P81" s="157" t="str">
        <f t="shared" ca="1" si="32"/>
        <v/>
      </c>
      <c r="Q81" s="157"/>
      <c r="R81" s="157"/>
      <c r="S81" s="158" t="b">
        <v>1</v>
      </c>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F81" s="159"/>
      <c r="BG81" s="159"/>
      <c r="BH81" s="159"/>
      <c r="BI81" s="159"/>
      <c r="BJ81" s="159"/>
      <c r="BK81" s="159"/>
      <c r="BL81" s="159"/>
      <c r="BM81" s="159"/>
      <c r="BN81" s="159"/>
      <c r="BO81" s="159"/>
      <c r="BP81" s="159"/>
      <c r="BQ81" s="159"/>
      <c r="BR81" s="159"/>
      <c r="BS81" s="159"/>
      <c r="BT81" s="159"/>
      <c r="BU81" s="159"/>
      <c r="BV81" s="159"/>
      <c r="BW81" s="159"/>
      <c r="BX81" s="159"/>
      <c r="BY81" s="159"/>
      <c r="BZ81" s="159"/>
      <c r="CA81" s="159"/>
    </row>
    <row r="82" spans="1:79" x14ac:dyDescent="0.25">
      <c r="A82" s="237" t="s">
        <v>228</v>
      </c>
      <c r="B82" s="243"/>
      <c r="C82" s="239" t="s">
        <v>189</v>
      </c>
      <c r="D82" s="166"/>
      <c r="E82" s="166"/>
      <c r="F82" s="157" t="str">
        <f t="shared" si="33"/>
        <v/>
      </c>
      <c r="G82" s="157" t="str">
        <f t="shared" si="34"/>
        <v/>
      </c>
      <c r="H82" s="157" t="str">
        <f t="shared" si="29"/>
        <v/>
      </c>
      <c r="I82" s="157" t="e">
        <f t="shared" si="35"/>
        <v>#N/A</v>
      </c>
      <c r="J82" s="157" t="str">
        <f t="shared" ca="1" si="30"/>
        <v/>
      </c>
      <c r="K82" s="157"/>
      <c r="L82" s="157" t="str">
        <f t="shared" si="36"/>
        <v>Bikes benefit everyone campaign</v>
      </c>
      <c r="M82" s="157">
        <f t="shared" si="37"/>
        <v>82</v>
      </c>
      <c r="N82" s="157">
        <f t="shared" si="31"/>
        <v>7</v>
      </c>
      <c r="O82" s="157" t="e">
        <f t="shared" si="38"/>
        <v>#N/A</v>
      </c>
      <c r="P82" s="157" t="str">
        <f t="shared" ca="1" si="32"/>
        <v/>
      </c>
      <c r="Q82" s="157"/>
      <c r="R82" s="157"/>
      <c r="S82" s="158" t="b">
        <v>1</v>
      </c>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F82" s="159"/>
      <c r="BG82" s="159"/>
      <c r="BH82" s="159"/>
      <c r="BI82" s="159"/>
      <c r="BJ82" s="159"/>
      <c r="BK82" s="159"/>
      <c r="BL82" s="159"/>
      <c r="BM82" s="159"/>
      <c r="BN82" s="159"/>
      <c r="BO82" s="159"/>
      <c r="BP82" s="159"/>
      <c r="BQ82" s="159"/>
      <c r="BR82" s="159"/>
      <c r="BS82" s="159"/>
      <c r="BT82" s="159"/>
      <c r="BU82" s="159"/>
      <c r="BV82" s="159"/>
      <c r="BW82" s="159"/>
      <c r="BX82" s="159"/>
      <c r="BY82" s="159"/>
      <c r="BZ82" s="159"/>
      <c r="CA82" s="159"/>
    </row>
    <row r="83" spans="1:79" x14ac:dyDescent="0.25">
      <c r="A83" s="168"/>
      <c r="B83" s="241"/>
      <c r="C83" s="242"/>
      <c r="D83" s="166"/>
      <c r="E83" s="166"/>
      <c r="F83" s="166"/>
      <c r="G83" s="166"/>
      <c r="H83" s="166"/>
      <c r="I83" s="166"/>
      <c r="J83" s="166"/>
      <c r="K83" s="166"/>
      <c r="L83" s="166"/>
      <c r="M83" s="166"/>
      <c r="N83" s="166"/>
      <c r="O83" s="166"/>
      <c r="P83" s="166"/>
      <c r="Q83" s="166"/>
      <c r="R83" s="166"/>
      <c r="S83" s="167"/>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F83" s="159"/>
      <c r="BG83" s="159"/>
      <c r="BH83" s="159"/>
      <c r="BI83" s="159"/>
      <c r="BJ83" s="159"/>
      <c r="BK83" s="159"/>
      <c r="BL83" s="159"/>
      <c r="BM83" s="159"/>
      <c r="BN83" s="159"/>
      <c r="BO83" s="159"/>
      <c r="BP83" s="159"/>
      <c r="BQ83" s="159"/>
      <c r="BR83" s="159"/>
      <c r="BS83" s="159"/>
      <c r="BT83" s="159"/>
      <c r="BU83" s="159"/>
      <c r="BV83" s="159"/>
      <c r="BW83" s="159"/>
      <c r="BX83" s="159"/>
      <c r="BY83" s="159"/>
      <c r="BZ83" s="159"/>
      <c r="CA83" s="159"/>
    </row>
    <row r="84" spans="1:79" ht="16.5" x14ac:dyDescent="0.25">
      <c r="A84" s="640" t="s">
        <v>128</v>
      </c>
      <c r="B84" s="641"/>
      <c r="C84" s="642"/>
      <c r="D84" s="170"/>
      <c r="E84" s="170"/>
      <c r="F84" s="170"/>
      <c r="G84" s="170"/>
      <c r="H84" s="170"/>
      <c r="I84" s="170"/>
      <c r="J84" s="170"/>
      <c r="K84" s="170"/>
      <c r="L84" s="170"/>
      <c r="M84" s="170"/>
      <c r="N84" s="170"/>
      <c r="O84" s="170"/>
      <c r="P84" s="170"/>
      <c r="Q84" s="170"/>
      <c r="R84" s="170"/>
      <c r="S84" s="170"/>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F84" s="159"/>
      <c r="BG84" s="159"/>
      <c r="BH84" s="159"/>
      <c r="BI84" s="159"/>
      <c r="BJ84" s="159"/>
      <c r="BK84" s="159"/>
      <c r="BL84" s="159"/>
      <c r="BM84" s="159"/>
      <c r="BN84" s="159"/>
      <c r="BO84" s="159"/>
      <c r="BP84" s="159"/>
      <c r="BQ84" s="159"/>
      <c r="BR84" s="159"/>
      <c r="BS84" s="159"/>
      <c r="BT84" s="159"/>
      <c r="BU84" s="159"/>
      <c r="BV84" s="159"/>
      <c r="BW84" s="159"/>
      <c r="BX84" s="159"/>
      <c r="BY84" s="159"/>
      <c r="BZ84" s="159"/>
      <c r="CA84" s="159"/>
    </row>
    <row r="85" spans="1:79" x14ac:dyDescent="0.25">
      <c r="A85" s="168"/>
      <c r="B85" s="241"/>
      <c r="C85" s="242"/>
      <c r="D85" s="170"/>
      <c r="E85" s="170"/>
      <c r="F85" s="170"/>
      <c r="G85" s="170"/>
      <c r="H85" s="170"/>
      <c r="I85" s="170"/>
      <c r="J85" s="170"/>
      <c r="K85" s="170"/>
      <c r="L85" s="170"/>
      <c r="M85" s="170"/>
      <c r="N85" s="170"/>
      <c r="O85" s="170"/>
      <c r="P85" s="170"/>
      <c r="Q85" s="170"/>
      <c r="R85" s="170"/>
      <c r="S85" s="170"/>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F85" s="159"/>
      <c r="BG85" s="159"/>
      <c r="BH85" s="159"/>
      <c r="BI85" s="159"/>
      <c r="BJ85" s="159"/>
      <c r="BK85" s="159"/>
      <c r="BL85" s="159"/>
      <c r="BM85" s="159"/>
      <c r="BN85" s="159"/>
      <c r="BO85" s="159"/>
      <c r="BP85" s="159"/>
      <c r="BQ85" s="159"/>
      <c r="BR85" s="159"/>
      <c r="BS85" s="159"/>
      <c r="BT85" s="159"/>
      <c r="BU85" s="159"/>
      <c r="BV85" s="159"/>
      <c r="BW85" s="159"/>
      <c r="BX85" s="159"/>
      <c r="BY85" s="159"/>
      <c r="BZ85" s="159"/>
      <c r="CA85" s="159"/>
    </row>
    <row r="86" spans="1:79" x14ac:dyDescent="0.25">
      <c r="A86" s="253"/>
      <c r="B86" s="254"/>
      <c r="C86" s="255"/>
      <c r="D86" s="254"/>
      <c r="E86" s="254"/>
      <c r="F86" s="254"/>
      <c r="G86" s="254"/>
      <c r="H86" s="254"/>
      <c r="I86" s="254"/>
      <c r="J86" s="254"/>
      <c r="K86" s="254"/>
      <c r="L86" s="254"/>
      <c r="M86" s="254"/>
      <c r="N86" s="254"/>
      <c r="O86" s="254"/>
      <c r="P86" s="254"/>
      <c r="Q86" s="254"/>
      <c r="R86" s="254"/>
      <c r="S86" s="254"/>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F86" s="159"/>
      <c r="BG86" s="159"/>
      <c r="BH86" s="159"/>
      <c r="BI86" s="159"/>
      <c r="BJ86" s="159"/>
      <c r="BK86" s="159"/>
      <c r="BL86" s="159"/>
      <c r="BM86" s="159"/>
      <c r="BN86" s="159"/>
      <c r="BO86" s="159"/>
      <c r="BP86" s="159"/>
      <c r="BQ86" s="159"/>
      <c r="BR86" s="159"/>
      <c r="BS86" s="159"/>
      <c r="BT86" s="159"/>
      <c r="BU86" s="159"/>
      <c r="BV86" s="159"/>
      <c r="BW86" s="159"/>
      <c r="BX86" s="159"/>
      <c r="BY86" s="159"/>
      <c r="BZ86" s="159"/>
      <c r="CA86" s="159"/>
    </row>
    <row r="87" spans="1:79" x14ac:dyDescent="0.25">
      <c r="A87" s="146"/>
      <c r="B87" s="146"/>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F87" s="159"/>
      <c r="BG87" s="159"/>
      <c r="BH87" s="159"/>
      <c r="BI87" s="159"/>
      <c r="BJ87" s="159"/>
      <c r="BK87" s="159"/>
      <c r="BL87" s="159"/>
      <c r="BM87" s="159"/>
      <c r="BN87" s="159"/>
      <c r="BO87" s="159"/>
      <c r="BP87" s="159"/>
      <c r="BQ87" s="159"/>
      <c r="BR87" s="159"/>
      <c r="BS87" s="159"/>
      <c r="BT87" s="159"/>
      <c r="BU87" s="159"/>
      <c r="BV87" s="159"/>
      <c r="BW87" s="159"/>
      <c r="BX87" s="159"/>
      <c r="BY87" s="159"/>
      <c r="BZ87" s="159"/>
      <c r="CA87" s="159"/>
    </row>
    <row r="88" spans="1:79" x14ac:dyDescent="0.25">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F88" s="159"/>
      <c r="BG88" s="159"/>
      <c r="BH88" s="159"/>
      <c r="BI88" s="159"/>
      <c r="BJ88" s="159"/>
      <c r="BK88" s="159"/>
      <c r="BL88" s="159"/>
      <c r="BM88" s="159"/>
      <c r="BN88" s="159"/>
      <c r="BO88" s="159"/>
      <c r="BP88" s="159"/>
      <c r="BQ88" s="159"/>
      <c r="BR88" s="159"/>
      <c r="BS88" s="159"/>
      <c r="BT88" s="159"/>
      <c r="BU88" s="159"/>
      <c r="BV88" s="159"/>
      <c r="BW88" s="159"/>
      <c r="BX88" s="159"/>
      <c r="BY88" s="159"/>
      <c r="BZ88" s="159"/>
      <c r="CA88" s="159"/>
    </row>
    <row r="89" spans="1:79" x14ac:dyDescent="0.25">
      <c r="A89" s="146"/>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F89" s="159"/>
      <c r="BG89" s="159"/>
      <c r="BH89" s="159"/>
      <c r="BI89" s="159"/>
      <c r="BJ89" s="159"/>
      <c r="BK89" s="159"/>
      <c r="BL89" s="159"/>
      <c r="BM89" s="159"/>
      <c r="BN89" s="159"/>
      <c r="BO89" s="159"/>
      <c r="BP89" s="159"/>
      <c r="BQ89" s="159"/>
      <c r="BR89" s="159"/>
      <c r="BS89" s="159"/>
      <c r="BT89" s="159"/>
      <c r="BU89" s="159"/>
      <c r="BV89" s="159"/>
      <c r="BW89" s="159"/>
      <c r="BX89" s="159"/>
      <c r="BY89" s="159"/>
      <c r="BZ89" s="159"/>
      <c r="CA89" s="159"/>
    </row>
    <row r="90" spans="1:79" x14ac:dyDescent="0.25">
      <c r="A90" s="146"/>
      <c r="B90" s="146"/>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F90" s="159"/>
      <c r="BG90" s="159"/>
      <c r="BH90" s="159"/>
      <c r="BI90" s="159"/>
      <c r="BJ90" s="159"/>
      <c r="BK90" s="159"/>
      <c r="BL90" s="159"/>
      <c r="BM90" s="159"/>
      <c r="BN90" s="159"/>
      <c r="BO90" s="159"/>
      <c r="BP90" s="159"/>
      <c r="BQ90" s="159"/>
      <c r="BR90" s="159"/>
      <c r="BS90" s="159"/>
      <c r="BT90" s="159"/>
      <c r="BU90" s="159"/>
      <c r="BV90" s="159"/>
      <c r="BW90" s="159"/>
      <c r="BX90" s="159"/>
      <c r="BY90" s="159"/>
      <c r="BZ90" s="159"/>
      <c r="CA90" s="159"/>
    </row>
    <row r="91" spans="1:79" x14ac:dyDescent="0.25">
      <c r="A91" s="146"/>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F91" s="159"/>
      <c r="BG91" s="159"/>
      <c r="BH91" s="159"/>
      <c r="BI91" s="159"/>
      <c r="BJ91" s="159"/>
      <c r="BK91" s="159"/>
      <c r="BL91" s="159"/>
      <c r="BM91" s="159"/>
      <c r="BN91" s="159"/>
      <c r="BO91" s="159"/>
      <c r="BP91" s="159"/>
      <c r="BQ91" s="159"/>
      <c r="BR91" s="159"/>
      <c r="BS91" s="159"/>
      <c r="BT91" s="159"/>
      <c r="BU91" s="159"/>
      <c r="BV91" s="159"/>
      <c r="BW91" s="159"/>
      <c r="BX91" s="159"/>
      <c r="BY91" s="159"/>
      <c r="BZ91" s="159"/>
      <c r="CA91" s="159"/>
    </row>
    <row r="92" spans="1:79" x14ac:dyDescent="0.25">
      <c r="A92" s="146"/>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F92" s="159"/>
      <c r="BG92" s="159"/>
      <c r="BH92" s="159"/>
      <c r="BI92" s="159"/>
      <c r="BJ92" s="159"/>
      <c r="BK92" s="159"/>
      <c r="BL92" s="159"/>
      <c r="BM92" s="159"/>
      <c r="BN92" s="159"/>
      <c r="BO92" s="159"/>
      <c r="BP92" s="159"/>
      <c r="BQ92" s="159"/>
      <c r="BR92" s="159"/>
      <c r="BS92" s="159"/>
      <c r="BT92" s="159"/>
      <c r="BU92" s="159"/>
      <c r="BV92" s="159"/>
      <c r="BW92" s="159"/>
      <c r="BX92" s="159"/>
      <c r="BY92" s="159"/>
      <c r="BZ92" s="159"/>
      <c r="CA92" s="159"/>
    </row>
    <row r="93" spans="1:79" x14ac:dyDescent="0.25">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F93" s="159"/>
      <c r="BG93" s="159"/>
      <c r="BH93" s="159"/>
      <c r="BI93" s="159"/>
      <c r="BJ93" s="159"/>
      <c r="BK93" s="159"/>
      <c r="BL93" s="159"/>
      <c r="BM93" s="159"/>
      <c r="BN93" s="159"/>
      <c r="BO93" s="159"/>
      <c r="BP93" s="159"/>
      <c r="BQ93" s="159"/>
      <c r="BR93" s="159"/>
      <c r="BS93" s="159"/>
      <c r="BT93" s="159"/>
      <c r="BU93" s="159"/>
      <c r="BV93" s="159"/>
      <c r="BW93" s="159"/>
      <c r="BX93" s="159"/>
      <c r="BY93" s="159"/>
      <c r="BZ93" s="159"/>
      <c r="CA93" s="159"/>
    </row>
    <row r="94" spans="1:79" x14ac:dyDescent="0.25">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F94" s="159"/>
      <c r="BG94" s="159"/>
      <c r="BH94" s="159"/>
      <c r="BI94" s="159"/>
      <c r="BJ94" s="159"/>
      <c r="BK94" s="159"/>
      <c r="BL94" s="159"/>
      <c r="BM94" s="159"/>
      <c r="BN94" s="159"/>
      <c r="BO94" s="159"/>
      <c r="BP94" s="159"/>
      <c r="BQ94" s="159"/>
      <c r="BR94" s="159"/>
      <c r="BS94" s="159"/>
      <c r="BT94" s="159"/>
      <c r="BU94" s="159"/>
      <c r="BV94" s="159"/>
      <c r="BW94" s="159"/>
      <c r="BX94" s="159"/>
      <c r="BY94" s="159"/>
      <c r="BZ94" s="159"/>
      <c r="CA94" s="159"/>
    </row>
    <row r="95" spans="1:79" x14ac:dyDescent="0.25">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F95" s="159"/>
      <c r="BG95" s="159"/>
      <c r="BH95" s="159"/>
      <c r="BI95" s="159"/>
      <c r="BJ95" s="159"/>
      <c r="BK95" s="159"/>
      <c r="BL95" s="159"/>
      <c r="BM95" s="159"/>
      <c r="BN95" s="159"/>
      <c r="BO95" s="159"/>
      <c r="BP95" s="159"/>
      <c r="BQ95" s="159"/>
      <c r="BR95" s="159"/>
      <c r="BS95" s="159"/>
      <c r="BT95" s="159"/>
      <c r="BU95" s="159"/>
      <c r="BV95" s="159"/>
      <c r="BW95" s="159"/>
      <c r="BX95" s="159"/>
      <c r="BY95" s="159"/>
      <c r="BZ95" s="159"/>
      <c r="CA95" s="159"/>
    </row>
  </sheetData>
  <sheetProtection password="8CF0" sheet="1" objects="1" scenarios="1" selectLockedCells="1"/>
  <mergeCells count="23">
    <mergeCell ref="A84:C84"/>
    <mergeCell ref="A3:C4"/>
    <mergeCell ref="A1:C2"/>
    <mergeCell ref="A61:C61"/>
    <mergeCell ref="AM3:AO4"/>
    <mergeCell ref="A41:C41"/>
    <mergeCell ref="A46:C46"/>
    <mergeCell ref="A80:C80"/>
    <mergeCell ref="A64:C64"/>
    <mergeCell ref="A35:C35"/>
    <mergeCell ref="A39:C39"/>
    <mergeCell ref="A48:C48"/>
    <mergeCell ref="A55:C55"/>
    <mergeCell ref="A7:C7"/>
    <mergeCell ref="A9:C9"/>
    <mergeCell ref="A16:C16"/>
    <mergeCell ref="A71:C71"/>
    <mergeCell ref="A73:C73"/>
    <mergeCell ref="A19:C19"/>
    <mergeCell ref="A23:C23"/>
    <mergeCell ref="A32:C32"/>
    <mergeCell ref="A25:C25"/>
    <mergeCell ref="A57:C57"/>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locked="0" defaultSize="0" autoFill="0" autoLine="0" autoPict="0">
                <anchor moveWithCells="1">
                  <from>
                    <xdr:col>1</xdr:col>
                    <xdr:colOff>200025</xdr:colOff>
                    <xdr:row>8</xdr:row>
                    <xdr:rowOff>180975</xdr:rowOff>
                  </from>
                  <to>
                    <xdr:col>1</xdr:col>
                    <xdr:colOff>504825</xdr:colOff>
                    <xdr:row>10</xdr:row>
                    <xdr:rowOff>0</xdr:rowOff>
                  </to>
                </anchor>
              </controlPr>
            </control>
          </mc:Choice>
        </mc:AlternateContent>
        <mc:AlternateContent xmlns:mc="http://schemas.openxmlformats.org/markup-compatibility/2006">
          <mc:Choice Requires="x14">
            <control shapeId="30722" r:id="rId5" name="Check Box 2">
              <controlPr locked="0" defaultSize="0" autoFill="0" autoLine="0" autoPict="0">
                <anchor moveWithCells="1">
                  <from>
                    <xdr:col>1</xdr:col>
                    <xdr:colOff>200025</xdr:colOff>
                    <xdr:row>10</xdr:row>
                    <xdr:rowOff>180975</xdr:rowOff>
                  </from>
                  <to>
                    <xdr:col>1</xdr:col>
                    <xdr:colOff>504825</xdr:colOff>
                    <xdr:row>12</xdr:row>
                    <xdr:rowOff>19050</xdr:rowOff>
                  </to>
                </anchor>
              </controlPr>
            </control>
          </mc:Choice>
        </mc:AlternateContent>
        <mc:AlternateContent xmlns:mc="http://schemas.openxmlformats.org/markup-compatibility/2006">
          <mc:Choice Requires="x14">
            <control shapeId="30723" r:id="rId6" name="Check Box 3">
              <controlPr locked="0" defaultSize="0" autoFill="0" autoLine="0" autoPict="0">
                <anchor moveWithCells="1">
                  <from>
                    <xdr:col>1</xdr:col>
                    <xdr:colOff>200025</xdr:colOff>
                    <xdr:row>12</xdr:row>
                    <xdr:rowOff>180975</xdr:rowOff>
                  </from>
                  <to>
                    <xdr:col>1</xdr:col>
                    <xdr:colOff>504825</xdr:colOff>
                    <xdr:row>14</xdr:row>
                    <xdr:rowOff>19050</xdr:rowOff>
                  </to>
                </anchor>
              </controlPr>
            </control>
          </mc:Choice>
        </mc:AlternateContent>
        <mc:AlternateContent xmlns:mc="http://schemas.openxmlformats.org/markup-compatibility/2006">
          <mc:Choice Requires="x14">
            <control shapeId="30724" r:id="rId7" name="Check Box 4">
              <controlPr locked="0" defaultSize="0" autoFill="0" autoLine="0" autoPict="0">
                <anchor moveWithCells="1">
                  <from>
                    <xdr:col>1</xdr:col>
                    <xdr:colOff>200025</xdr:colOff>
                    <xdr:row>9</xdr:row>
                    <xdr:rowOff>180975</xdr:rowOff>
                  </from>
                  <to>
                    <xdr:col>1</xdr:col>
                    <xdr:colOff>504825</xdr:colOff>
                    <xdr:row>11</xdr:row>
                    <xdr:rowOff>19050</xdr:rowOff>
                  </to>
                </anchor>
              </controlPr>
            </control>
          </mc:Choice>
        </mc:AlternateContent>
        <mc:AlternateContent xmlns:mc="http://schemas.openxmlformats.org/markup-compatibility/2006">
          <mc:Choice Requires="x14">
            <control shapeId="30725" r:id="rId8" name="Check Box 5">
              <controlPr locked="0" defaultSize="0" autoFill="0" autoLine="0" autoPict="0">
                <anchor moveWithCells="1">
                  <from>
                    <xdr:col>1</xdr:col>
                    <xdr:colOff>200025</xdr:colOff>
                    <xdr:row>11</xdr:row>
                    <xdr:rowOff>180975</xdr:rowOff>
                  </from>
                  <to>
                    <xdr:col>1</xdr:col>
                    <xdr:colOff>504825</xdr:colOff>
                    <xdr:row>13</xdr:row>
                    <xdr:rowOff>19050</xdr:rowOff>
                  </to>
                </anchor>
              </controlPr>
            </control>
          </mc:Choice>
        </mc:AlternateContent>
        <mc:AlternateContent xmlns:mc="http://schemas.openxmlformats.org/markup-compatibility/2006">
          <mc:Choice Requires="x14">
            <control shapeId="30726" r:id="rId9" name="Check Box 6">
              <controlPr locked="0" defaultSize="0" autoFill="0" autoLine="0" autoPict="0">
                <anchor moveWithCells="1">
                  <from>
                    <xdr:col>1</xdr:col>
                    <xdr:colOff>200025</xdr:colOff>
                    <xdr:row>15</xdr:row>
                    <xdr:rowOff>190500</xdr:rowOff>
                  </from>
                  <to>
                    <xdr:col>1</xdr:col>
                    <xdr:colOff>504825</xdr:colOff>
                    <xdr:row>17</xdr:row>
                    <xdr:rowOff>9525</xdr:rowOff>
                  </to>
                </anchor>
              </controlPr>
            </control>
          </mc:Choice>
        </mc:AlternateContent>
        <mc:AlternateContent xmlns:mc="http://schemas.openxmlformats.org/markup-compatibility/2006">
          <mc:Choice Requires="x14">
            <control shapeId="30727" r:id="rId10" name="Check Box 7">
              <controlPr locked="0" defaultSize="0" autoFill="0" autoLine="0" autoPict="0">
                <anchor moveWithCells="1">
                  <from>
                    <xdr:col>1</xdr:col>
                    <xdr:colOff>200025</xdr:colOff>
                    <xdr:row>18</xdr:row>
                    <xdr:rowOff>190500</xdr:rowOff>
                  </from>
                  <to>
                    <xdr:col>1</xdr:col>
                    <xdr:colOff>504825</xdr:colOff>
                    <xdr:row>20</xdr:row>
                    <xdr:rowOff>9525</xdr:rowOff>
                  </to>
                </anchor>
              </controlPr>
            </control>
          </mc:Choice>
        </mc:AlternateContent>
        <mc:AlternateContent xmlns:mc="http://schemas.openxmlformats.org/markup-compatibility/2006">
          <mc:Choice Requires="x14">
            <control shapeId="30728" r:id="rId11" name="Check Box 8">
              <controlPr locked="0" defaultSize="0" autoFill="0" autoLine="0" autoPict="0">
                <anchor moveWithCells="1">
                  <from>
                    <xdr:col>1</xdr:col>
                    <xdr:colOff>200025</xdr:colOff>
                    <xdr:row>24</xdr:row>
                    <xdr:rowOff>190500</xdr:rowOff>
                  </from>
                  <to>
                    <xdr:col>1</xdr:col>
                    <xdr:colOff>504825</xdr:colOff>
                    <xdr:row>26</xdr:row>
                    <xdr:rowOff>9525</xdr:rowOff>
                  </to>
                </anchor>
              </controlPr>
            </control>
          </mc:Choice>
        </mc:AlternateContent>
        <mc:AlternateContent xmlns:mc="http://schemas.openxmlformats.org/markup-compatibility/2006">
          <mc:Choice Requires="x14">
            <control shapeId="30729" r:id="rId12" name="Check Box 9">
              <controlPr locked="0" defaultSize="0" autoFill="0" autoLine="0" autoPict="0">
                <anchor moveWithCells="1">
                  <from>
                    <xdr:col>1</xdr:col>
                    <xdr:colOff>200025</xdr:colOff>
                    <xdr:row>25</xdr:row>
                    <xdr:rowOff>171450</xdr:rowOff>
                  </from>
                  <to>
                    <xdr:col>1</xdr:col>
                    <xdr:colOff>504825</xdr:colOff>
                    <xdr:row>27</xdr:row>
                    <xdr:rowOff>9525</xdr:rowOff>
                  </to>
                </anchor>
              </controlPr>
            </control>
          </mc:Choice>
        </mc:AlternateContent>
        <mc:AlternateContent xmlns:mc="http://schemas.openxmlformats.org/markup-compatibility/2006">
          <mc:Choice Requires="x14">
            <control shapeId="30730" r:id="rId13" name="Check Box 10">
              <controlPr locked="0" defaultSize="0" autoFill="0" autoLine="0" autoPict="0">
                <anchor moveWithCells="1">
                  <from>
                    <xdr:col>1</xdr:col>
                    <xdr:colOff>200025</xdr:colOff>
                    <xdr:row>31</xdr:row>
                    <xdr:rowOff>190500</xdr:rowOff>
                  </from>
                  <to>
                    <xdr:col>1</xdr:col>
                    <xdr:colOff>504825</xdr:colOff>
                    <xdr:row>33</xdr:row>
                    <xdr:rowOff>9525</xdr:rowOff>
                  </to>
                </anchor>
              </controlPr>
            </control>
          </mc:Choice>
        </mc:AlternateContent>
        <mc:AlternateContent xmlns:mc="http://schemas.openxmlformats.org/markup-compatibility/2006">
          <mc:Choice Requires="x14">
            <control shapeId="30731" r:id="rId14" name="Check Box 11">
              <controlPr locked="0" defaultSize="0" autoFill="0" autoLine="0" autoPict="0">
                <anchor moveWithCells="1">
                  <from>
                    <xdr:col>1</xdr:col>
                    <xdr:colOff>200025</xdr:colOff>
                    <xdr:row>26</xdr:row>
                    <xdr:rowOff>171450</xdr:rowOff>
                  </from>
                  <to>
                    <xdr:col>1</xdr:col>
                    <xdr:colOff>504825</xdr:colOff>
                    <xdr:row>28</xdr:row>
                    <xdr:rowOff>9525</xdr:rowOff>
                  </to>
                </anchor>
              </controlPr>
            </control>
          </mc:Choice>
        </mc:AlternateContent>
        <mc:AlternateContent xmlns:mc="http://schemas.openxmlformats.org/markup-compatibility/2006">
          <mc:Choice Requires="x14">
            <control shapeId="30732" r:id="rId15" name="Check Box 12">
              <controlPr locked="0" defaultSize="0" autoFill="0" autoLine="0" autoPict="0">
                <anchor moveWithCells="1">
                  <from>
                    <xdr:col>1</xdr:col>
                    <xdr:colOff>200025</xdr:colOff>
                    <xdr:row>27</xdr:row>
                    <xdr:rowOff>171450</xdr:rowOff>
                  </from>
                  <to>
                    <xdr:col>1</xdr:col>
                    <xdr:colOff>504825</xdr:colOff>
                    <xdr:row>29</xdr:row>
                    <xdr:rowOff>9525</xdr:rowOff>
                  </to>
                </anchor>
              </controlPr>
            </control>
          </mc:Choice>
        </mc:AlternateContent>
        <mc:AlternateContent xmlns:mc="http://schemas.openxmlformats.org/markup-compatibility/2006">
          <mc:Choice Requires="x14">
            <control shapeId="30734" r:id="rId16" name="Check Box 14">
              <controlPr locked="0" defaultSize="0" autoFill="0" autoLine="0" autoPict="0">
                <anchor moveWithCells="1">
                  <from>
                    <xdr:col>1</xdr:col>
                    <xdr:colOff>200025</xdr:colOff>
                    <xdr:row>40</xdr:row>
                    <xdr:rowOff>180975</xdr:rowOff>
                  </from>
                  <to>
                    <xdr:col>1</xdr:col>
                    <xdr:colOff>504825</xdr:colOff>
                    <xdr:row>42</xdr:row>
                    <xdr:rowOff>0</xdr:rowOff>
                  </to>
                </anchor>
              </controlPr>
            </control>
          </mc:Choice>
        </mc:AlternateContent>
        <mc:AlternateContent xmlns:mc="http://schemas.openxmlformats.org/markup-compatibility/2006">
          <mc:Choice Requires="x14">
            <control shapeId="30735" r:id="rId17" name="Check Box 15">
              <controlPr locked="0" defaultSize="0" autoFill="0" autoLine="0" autoPict="0">
                <anchor moveWithCells="1">
                  <from>
                    <xdr:col>1</xdr:col>
                    <xdr:colOff>200025</xdr:colOff>
                    <xdr:row>41</xdr:row>
                    <xdr:rowOff>180975</xdr:rowOff>
                  </from>
                  <to>
                    <xdr:col>1</xdr:col>
                    <xdr:colOff>504825</xdr:colOff>
                    <xdr:row>43</xdr:row>
                    <xdr:rowOff>19050</xdr:rowOff>
                  </to>
                </anchor>
              </controlPr>
            </control>
          </mc:Choice>
        </mc:AlternateContent>
        <mc:AlternateContent xmlns:mc="http://schemas.openxmlformats.org/markup-compatibility/2006">
          <mc:Choice Requires="x14">
            <control shapeId="30736" r:id="rId18" name="Check Box 16">
              <controlPr locked="0" defaultSize="0" autoFill="0" autoLine="0" autoPict="0">
                <anchor moveWithCells="1">
                  <from>
                    <xdr:col>1</xdr:col>
                    <xdr:colOff>200025</xdr:colOff>
                    <xdr:row>42</xdr:row>
                    <xdr:rowOff>180975</xdr:rowOff>
                  </from>
                  <to>
                    <xdr:col>1</xdr:col>
                    <xdr:colOff>504825</xdr:colOff>
                    <xdr:row>44</xdr:row>
                    <xdr:rowOff>19050</xdr:rowOff>
                  </to>
                </anchor>
              </controlPr>
            </control>
          </mc:Choice>
        </mc:AlternateContent>
        <mc:AlternateContent xmlns:mc="http://schemas.openxmlformats.org/markup-compatibility/2006">
          <mc:Choice Requires="x14">
            <control shapeId="30740" r:id="rId19" name="Check Box 20">
              <controlPr locked="0" defaultSize="0" autoFill="0" autoLine="0" autoPict="0">
                <anchor moveWithCells="1">
                  <from>
                    <xdr:col>1</xdr:col>
                    <xdr:colOff>200025</xdr:colOff>
                    <xdr:row>56</xdr:row>
                    <xdr:rowOff>180975</xdr:rowOff>
                  </from>
                  <to>
                    <xdr:col>1</xdr:col>
                    <xdr:colOff>504825</xdr:colOff>
                    <xdr:row>58</xdr:row>
                    <xdr:rowOff>0</xdr:rowOff>
                  </to>
                </anchor>
              </controlPr>
            </control>
          </mc:Choice>
        </mc:AlternateContent>
        <mc:AlternateContent xmlns:mc="http://schemas.openxmlformats.org/markup-compatibility/2006">
          <mc:Choice Requires="x14">
            <control shapeId="30741" r:id="rId20" name="Check Box 21">
              <controlPr locked="0" defaultSize="0" autoFill="0" autoLine="0" autoPict="0">
                <anchor moveWithCells="1">
                  <from>
                    <xdr:col>1</xdr:col>
                    <xdr:colOff>200025</xdr:colOff>
                    <xdr:row>57</xdr:row>
                    <xdr:rowOff>180975</xdr:rowOff>
                  </from>
                  <to>
                    <xdr:col>1</xdr:col>
                    <xdr:colOff>504825</xdr:colOff>
                    <xdr:row>59</xdr:row>
                    <xdr:rowOff>19050</xdr:rowOff>
                  </to>
                </anchor>
              </controlPr>
            </control>
          </mc:Choice>
        </mc:AlternateContent>
        <mc:AlternateContent xmlns:mc="http://schemas.openxmlformats.org/markup-compatibility/2006">
          <mc:Choice Requires="x14">
            <control shapeId="30742" r:id="rId21" name="Check Box 22">
              <controlPr locked="0" defaultSize="0" autoFill="0" autoLine="0" autoPict="0">
                <anchor moveWithCells="1">
                  <from>
                    <xdr:col>1</xdr:col>
                    <xdr:colOff>200025</xdr:colOff>
                    <xdr:row>60</xdr:row>
                    <xdr:rowOff>190500</xdr:rowOff>
                  </from>
                  <to>
                    <xdr:col>1</xdr:col>
                    <xdr:colOff>504825</xdr:colOff>
                    <xdr:row>62</xdr:row>
                    <xdr:rowOff>9525</xdr:rowOff>
                  </to>
                </anchor>
              </controlPr>
            </control>
          </mc:Choice>
        </mc:AlternateContent>
        <mc:AlternateContent xmlns:mc="http://schemas.openxmlformats.org/markup-compatibility/2006">
          <mc:Choice Requires="x14">
            <control shapeId="30743" r:id="rId22" name="Check Box 23">
              <controlPr locked="0" defaultSize="0" autoFill="0" autoLine="0" autoPict="0">
                <anchor moveWithCells="1">
                  <from>
                    <xdr:col>1</xdr:col>
                    <xdr:colOff>200025</xdr:colOff>
                    <xdr:row>72</xdr:row>
                    <xdr:rowOff>180975</xdr:rowOff>
                  </from>
                  <to>
                    <xdr:col>1</xdr:col>
                    <xdr:colOff>504825</xdr:colOff>
                    <xdr:row>74</xdr:row>
                    <xdr:rowOff>0</xdr:rowOff>
                  </to>
                </anchor>
              </controlPr>
            </control>
          </mc:Choice>
        </mc:AlternateContent>
        <mc:AlternateContent xmlns:mc="http://schemas.openxmlformats.org/markup-compatibility/2006">
          <mc:Choice Requires="x14">
            <control shapeId="30744" r:id="rId23" name="Check Box 24">
              <controlPr locked="0" defaultSize="0" autoFill="0" autoLine="0" autoPict="0">
                <anchor moveWithCells="1">
                  <from>
                    <xdr:col>1</xdr:col>
                    <xdr:colOff>200025</xdr:colOff>
                    <xdr:row>73</xdr:row>
                    <xdr:rowOff>180975</xdr:rowOff>
                  </from>
                  <to>
                    <xdr:col>1</xdr:col>
                    <xdr:colOff>504825</xdr:colOff>
                    <xdr:row>75</xdr:row>
                    <xdr:rowOff>19050</xdr:rowOff>
                  </to>
                </anchor>
              </controlPr>
            </control>
          </mc:Choice>
        </mc:AlternateContent>
        <mc:AlternateContent xmlns:mc="http://schemas.openxmlformats.org/markup-compatibility/2006">
          <mc:Choice Requires="x14">
            <control shapeId="30745" r:id="rId24" name="Check Box 25">
              <controlPr locked="0" defaultSize="0" autoFill="0" autoLine="0" autoPict="0">
                <anchor moveWithCells="1">
                  <from>
                    <xdr:col>1</xdr:col>
                    <xdr:colOff>200025</xdr:colOff>
                    <xdr:row>74</xdr:row>
                    <xdr:rowOff>171450</xdr:rowOff>
                  </from>
                  <to>
                    <xdr:col>1</xdr:col>
                    <xdr:colOff>504825</xdr:colOff>
                    <xdr:row>76</xdr:row>
                    <xdr:rowOff>9525</xdr:rowOff>
                  </to>
                </anchor>
              </controlPr>
            </control>
          </mc:Choice>
        </mc:AlternateContent>
        <mc:AlternateContent xmlns:mc="http://schemas.openxmlformats.org/markup-compatibility/2006">
          <mc:Choice Requires="x14">
            <control shapeId="30746" r:id="rId25" name="Check Box 26">
              <controlPr locked="0" defaultSize="0" autoFill="0" autoLine="0" autoPict="0">
                <anchor moveWithCells="1">
                  <from>
                    <xdr:col>1</xdr:col>
                    <xdr:colOff>200025</xdr:colOff>
                    <xdr:row>79</xdr:row>
                    <xdr:rowOff>190500</xdr:rowOff>
                  </from>
                  <to>
                    <xdr:col>1</xdr:col>
                    <xdr:colOff>504825</xdr:colOff>
                    <xdr:row>81</xdr:row>
                    <xdr:rowOff>9525</xdr:rowOff>
                  </to>
                </anchor>
              </controlPr>
            </control>
          </mc:Choice>
        </mc:AlternateContent>
        <mc:AlternateContent xmlns:mc="http://schemas.openxmlformats.org/markup-compatibility/2006">
          <mc:Choice Requires="x14">
            <control shapeId="30748" r:id="rId26" name="Check Box 28">
              <controlPr locked="0" defaultSize="0" autoFill="0" autoLine="0" autoPict="0">
                <anchor moveWithCells="1">
                  <from>
                    <xdr:col>1</xdr:col>
                    <xdr:colOff>200025</xdr:colOff>
                    <xdr:row>75</xdr:row>
                    <xdr:rowOff>171450</xdr:rowOff>
                  </from>
                  <to>
                    <xdr:col>1</xdr:col>
                    <xdr:colOff>504825</xdr:colOff>
                    <xdr:row>77</xdr:row>
                    <xdr:rowOff>9525</xdr:rowOff>
                  </to>
                </anchor>
              </controlPr>
            </control>
          </mc:Choice>
        </mc:AlternateContent>
        <mc:AlternateContent xmlns:mc="http://schemas.openxmlformats.org/markup-compatibility/2006">
          <mc:Choice Requires="x14">
            <control shapeId="30749" r:id="rId27" name="Check Box 29">
              <controlPr locked="0" defaultSize="0" autoFill="0" autoLine="0" autoPict="0">
                <anchor moveWithCells="1">
                  <from>
                    <xdr:col>1</xdr:col>
                    <xdr:colOff>200025</xdr:colOff>
                    <xdr:row>76</xdr:row>
                    <xdr:rowOff>190500</xdr:rowOff>
                  </from>
                  <to>
                    <xdr:col>1</xdr:col>
                    <xdr:colOff>504825</xdr:colOff>
                    <xdr:row>78</xdr:row>
                    <xdr:rowOff>28575</xdr:rowOff>
                  </to>
                </anchor>
              </controlPr>
            </control>
          </mc:Choice>
        </mc:AlternateContent>
        <mc:AlternateContent xmlns:mc="http://schemas.openxmlformats.org/markup-compatibility/2006">
          <mc:Choice Requires="x14">
            <control shapeId="30751" r:id="rId28" name="Check Box 31">
              <controlPr locked="0" defaultSize="0" autoFill="0" autoLine="0" autoPict="0">
                <anchor moveWithCells="1">
                  <from>
                    <xdr:col>1</xdr:col>
                    <xdr:colOff>200025</xdr:colOff>
                    <xdr:row>80</xdr:row>
                    <xdr:rowOff>180975</xdr:rowOff>
                  </from>
                  <to>
                    <xdr:col>1</xdr:col>
                    <xdr:colOff>504825</xdr:colOff>
                    <xdr:row>82</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0000"/>
    <pageSetUpPr fitToPage="1"/>
  </sheetPr>
  <dimension ref="A1:BA66"/>
  <sheetViews>
    <sheetView zoomScale="80" zoomScaleNormal="80" workbookViewId="0">
      <pane ySplit="9" topLeftCell="A10" activePane="bottomLeft" state="frozen"/>
      <selection pane="bottomLeft" sqref="A1:M2"/>
    </sheetView>
  </sheetViews>
  <sheetFormatPr defaultRowHeight="15" x14ac:dyDescent="0.25"/>
  <cols>
    <col min="2" max="2" width="27.7109375" customWidth="1"/>
    <col min="3" max="3" width="14" customWidth="1"/>
    <col min="4" max="4" width="26.7109375" customWidth="1"/>
    <col min="5" max="7" width="9.140625" style="89" customWidth="1"/>
    <col min="8" max="8" width="19" customWidth="1"/>
    <col min="10" max="10" width="10.140625" customWidth="1"/>
    <col min="11" max="11" width="12.42578125" customWidth="1"/>
    <col min="12" max="12" width="30.7109375" customWidth="1"/>
    <col min="13" max="13" width="9.140625" customWidth="1"/>
    <col min="15" max="15" width="11.140625" customWidth="1"/>
    <col min="16" max="16" width="24.28515625" customWidth="1"/>
  </cols>
  <sheetData>
    <row r="1" spans="1:53" s="97" customFormat="1" ht="15" customHeight="1" x14ac:dyDescent="0.25">
      <c r="A1" s="715" t="s">
        <v>154</v>
      </c>
      <c r="B1" s="716"/>
      <c r="C1" s="716"/>
      <c r="D1" s="716"/>
      <c r="E1" s="716"/>
      <c r="F1" s="716"/>
      <c r="G1" s="716"/>
      <c r="H1" s="716"/>
      <c r="I1" s="716"/>
      <c r="J1" s="716"/>
      <c r="K1" s="716"/>
      <c r="L1" s="716"/>
      <c r="M1" s="717"/>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row>
    <row r="2" spans="1:53" s="97" customFormat="1" ht="15" customHeight="1" x14ac:dyDescent="0.25">
      <c r="A2" s="715"/>
      <c r="B2" s="716"/>
      <c r="C2" s="716"/>
      <c r="D2" s="716"/>
      <c r="E2" s="716"/>
      <c r="F2" s="716"/>
      <c r="G2" s="716"/>
      <c r="H2" s="716"/>
      <c r="I2" s="716"/>
      <c r="J2" s="716"/>
      <c r="K2" s="716"/>
      <c r="L2" s="716"/>
      <c r="M2" s="717"/>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row>
    <row r="3" spans="1:53" ht="15" customHeight="1" x14ac:dyDescent="0.25">
      <c r="A3" s="732" t="s">
        <v>234</v>
      </c>
      <c r="B3" s="733"/>
      <c r="C3" s="733"/>
      <c r="D3" s="733"/>
      <c r="E3" s="733"/>
      <c r="F3" s="733"/>
      <c r="G3" s="733"/>
      <c r="H3" s="733"/>
      <c r="I3" s="733"/>
      <c r="J3" s="733"/>
      <c r="K3" s="733"/>
      <c r="L3" s="733"/>
      <c r="M3" s="734"/>
      <c r="N3" s="39"/>
      <c r="O3" s="39"/>
      <c r="P3" s="39"/>
      <c r="Q3" s="39"/>
      <c r="R3" s="39"/>
      <c r="S3" s="39"/>
      <c r="T3" s="39"/>
      <c r="U3" s="39"/>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row>
    <row r="4" spans="1:53" ht="15" customHeight="1" x14ac:dyDescent="0.25">
      <c r="A4" s="732"/>
      <c r="B4" s="733"/>
      <c r="C4" s="733"/>
      <c r="D4" s="733"/>
      <c r="E4" s="733"/>
      <c r="F4" s="733"/>
      <c r="G4" s="733"/>
      <c r="H4" s="733"/>
      <c r="I4" s="733"/>
      <c r="J4" s="733"/>
      <c r="K4" s="733"/>
      <c r="L4" s="733"/>
      <c r="M4" s="734"/>
      <c r="N4" s="39"/>
      <c r="O4" s="39"/>
      <c r="P4" s="39"/>
      <c r="Q4" s="39"/>
      <c r="R4" s="39"/>
      <c r="S4" s="39"/>
      <c r="T4" s="39"/>
      <c r="U4" s="39"/>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row>
    <row r="5" spans="1:53" s="97" customFormat="1" ht="15" customHeight="1" x14ac:dyDescent="0.25">
      <c r="A5" s="141"/>
      <c r="B5" s="140"/>
      <c r="C5" s="140"/>
      <c r="D5" s="140"/>
      <c r="E5" s="225"/>
      <c r="F5" s="225"/>
      <c r="G5" s="225"/>
      <c r="H5" s="225"/>
      <c r="I5" s="225"/>
      <c r="J5" s="225"/>
      <c r="K5" s="225"/>
      <c r="L5" s="16"/>
      <c r="M5" s="142"/>
      <c r="N5" s="39"/>
      <c r="O5" s="39"/>
      <c r="P5" s="39"/>
      <c r="Q5" s="39"/>
      <c r="R5" s="39"/>
      <c r="S5" s="39"/>
      <c r="T5" s="39"/>
      <c r="U5" s="39"/>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row>
    <row r="6" spans="1:53" s="94" customFormat="1" ht="30" customHeight="1" x14ac:dyDescent="0.25">
      <c r="A6" s="139"/>
      <c r="B6" s="621" t="s">
        <v>51</v>
      </c>
      <c r="C6" s="622"/>
      <c r="D6" s="622"/>
      <c r="E6" s="729" t="str">
        <f>'Bicycle Parking Invest. Input'!C7</f>
        <v>Lake Merrit 2012 diverse investments</v>
      </c>
      <c r="F6" s="730"/>
      <c r="G6" s="730"/>
      <c r="H6" s="730"/>
      <c r="I6" s="730"/>
      <c r="J6" s="730"/>
      <c r="K6" s="730"/>
      <c r="L6" s="731"/>
      <c r="M6" s="147"/>
      <c r="N6" s="39"/>
      <c r="O6" s="16"/>
      <c r="P6" s="39"/>
      <c r="Q6" s="39"/>
      <c r="R6" s="39"/>
      <c r="S6" s="39"/>
      <c r="T6" s="39"/>
      <c r="U6" s="39"/>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row>
    <row r="7" spans="1:53" s="97" customFormat="1" ht="30" customHeight="1" x14ac:dyDescent="0.25">
      <c r="A7" s="139"/>
      <c r="B7" s="673" t="s">
        <v>124</v>
      </c>
      <c r="C7" s="674"/>
      <c r="D7" s="674"/>
      <c r="E7" s="675">
        <f>'Bicycle Parking Invest. Input'!C8</f>
        <v>2012</v>
      </c>
      <c r="F7" s="676"/>
      <c r="G7" s="676"/>
      <c r="H7" s="676"/>
      <c r="I7" s="676"/>
      <c r="J7" s="676"/>
      <c r="K7" s="676"/>
      <c r="L7" s="677"/>
      <c r="M7" s="147"/>
      <c r="N7" s="39"/>
      <c r="O7" s="16"/>
      <c r="P7" s="39"/>
      <c r="Q7" s="39"/>
      <c r="R7" s="39"/>
      <c r="S7" s="39"/>
      <c r="T7" s="39"/>
      <c r="U7" s="39"/>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row>
    <row r="8" spans="1:53" s="145" customFormat="1" ht="30" customHeight="1" x14ac:dyDescent="0.25">
      <c r="A8" s="224"/>
      <c r="B8" s="673" t="str">
        <f>'Bicycle Parking Invest. Summary'!B11</f>
        <v>BART Station</v>
      </c>
      <c r="C8" s="674"/>
      <c r="D8" s="674"/>
      <c r="E8" s="675" t="str">
        <f>'Bicycle Parking Invest. Summary'!F11</f>
        <v>Lake Merritt</v>
      </c>
      <c r="F8" s="676"/>
      <c r="G8" s="676"/>
      <c r="H8" s="676"/>
      <c r="I8" s="676"/>
      <c r="J8" s="676"/>
      <c r="K8" s="676"/>
      <c r="L8" s="677"/>
      <c r="M8" s="147"/>
      <c r="N8" s="146"/>
      <c r="O8" s="1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row>
    <row r="9" spans="1:53" s="145" customFormat="1" ht="30" hidden="1" customHeight="1" x14ac:dyDescent="0.25">
      <c r="A9" s="224"/>
      <c r="B9" s="561" t="s">
        <v>410</v>
      </c>
      <c r="C9" s="562"/>
      <c r="D9" s="562"/>
      <c r="E9" s="562"/>
      <c r="F9" s="562"/>
      <c r="G9" s="562"/>
      <c r="H9" s="562"/>
      <c r="I9" s="562"/>
      <c r="J9" s="562"/>
      <c r="K9" s="562"/>
      <c r="L9" s="563"/>
      <c r="M9" s="147"/>
      <c r="N9" s="146"/>
      <c r="O9" s="1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row>
    <row r="10" spans="1:53" s="97" customFormat="1" ht="15" customHeight="1" x14ac:dyDescent="0.25">
      <c r="A10" s="148"/>
      <c r="B10" s="146"/>
      <c r="C10" s="146"/>
      <c r="D10" s="146"/>
      <c r="E10" s="146"/>
      <c r="F10" s="146"/>
      <c r="G10" s="146"/>
      <c r="H10" s="146"/>
      <c r="I10" s="146"/>
      <c r="J10" s="146"/>
      <c r="K10" s="146"/>
      <c r="L10" s="146"/>
      <c r="M10" s="147"/>
      <c r="N10" s="39"/>
      <c r="O10" s="16"/>
      <c r="P10" s="39"/>
      <c r="Q10" s="39"/>
      <c r="R10" s="39"/>
      <c r="S10" s="39"/>
      <c r="T10" s="39"/>
      <c r="U10" s="39"/>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row>
    <row r="11" spans="1:53" s="97" customFormat="1" ht="39" customHeight="1" x14ac:dyDescent="0.25">
      <c r="A11" s="600" t="s">
        <v>241</v>
      </c>
      <c r="B11" s="601"/>
      <c r="C11" s="601"/>
      <c r="D11" s="601"/>
      <c r="E11" s="601"/>
      <c r="F11" s="601"/>
      <c r="G11" s="601"/>
      <c r="H11" s="601"/>
      <c r="I11" s="601"/>
      <c r="J11" s="601"/>
      <c r="K11" s="601"/>
      <c r="L11" s="601"/>
      <c r="M11" s="602"/>
      <c r="N11" s="39"/>
      <c r="O11" s="39"/>
      <c r="P11" s="39"/>
      <c r="Q11" s="39"/>
      <c r="R11" s="39"/>
      <c r="S11" s="39"/>
      <c r="T11" s="39"/>
      <c r="U11" s="39"/>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row>
    <row r="12" spans="1:53" ht="36.950000000000003" customHeight="1" x14ac:dyDescent="0.25">
      <c r="A12" s="148"/>
      <c r="B12" s="146"/>
      <c r="C12" s="146"/>
      <c r="D12" s="146"/>
      <c r="E12" s="146"/>
      <c r="F12" s="146"/>
      <c r="G12" s="146"/>
      <c r="H12" s="146"/>
      <c r="I12" s="146"/>
      <c r="J12" s="146"/>
      <c r="K12" s="146"/>
      <c r="L12" s="146"/>
      <c r="M12" s="147"/>
      <c r="N12" s="39"/>
      <c r="O12" s="16"/>
      <c r="P12" s="39"/>
      <c r="Q12" s="39"/>
      <c r="R12" s="39"/>
      <c r="S12" s="39"/>
      <c r="T12" s="39"/>
      <c r="U12" s="39"/>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row>
    <row r="13" spans="1:53" s="97" customFormat="1" ht="15.75" customHeight="1" x14ac:dyDescent="0.25">
      <c r="A13" s="148"/>
      <c r="B13" s="146"/>
      <c r="C13" s="146"/>
      <c r="D13" s="146"/>
      <c r="E13" s="146"/>
      <c r="F13" s="146"/>
      <c r="G13" s="146"/>
      <c r="H13" s="146"/>
      <c r="I13" s="146"/>
      <c r="J13" s="146"/>
      <c r="K13" s="146"/>
      <c r="L13" s="146"/>
      <c r="M13" s="147"/>
      <c r="N13" s="39"/>
      <c r="O13" s="39"/>
      <c r="P13" s="39"/>
      <c r="Q13" s="39"/>
      <c r="R13" s="39"/>
      <c r="S13" s="39"/>
      <c r="T13" s="39"/>
      <c r="U13" s="39"/>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row>
    <row r="14" spans="1:53" s="94" customFormat="1" ht="5.0999999999999996" customHeight="1" x14ac:dyDescent="0.25">
      <c r="A14" s="148"/>
      <c r="B14" s="146"/>
      <c r="C14" s="146"/>
      <c r="D14" s="146"/>
      <c r="E14" s="146"/>
      <c r="F14" s="146"/>
      <c r="G14" s="146"/>
      <c r="H14" s="146"/>
      <c r="I14" s="146"/>
      <c r="J14" s="146"/>
      <c r="K14" s="146"/>
      <c r="L14" s="146"/>
      <c r="M14" s="147"/>
      <c r="N14" s="39"/>
      <c r="O14" s="39"/>
      <c r="P14" s="39"/>
      <c r="Q14" s="39"/>
      <c r="R14" s="39"/>
      <c r="S14" s="39"/>
      <c r="T14" s="39"/>
      <c r="U14" s="39"/>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row>
    <row r="15" spans="1:53" ht="30" customHeight="1" x14ac:dyDescent="0.25">
      <c r="A15" s="727" t="s">
        <v>177</v>
      </c>
      <c r="B15" s="728"/>
      <c r="C15" s="134" t="s">
        <v>204</v>
      </c>
      <c r="D15" s="134" t="s">
        <v>240</v>
      </c>
      <c r="E15" s="721" t="s">
        <v>183</v>
      </c>
      <c r="F15" s="722"/>
      <c r="G15" s="723"/>
      <c r="H15" s="721" t="s">
        <v>184</v>
      </c>
      <c r="I15" s="722"/>
      <c r="J15" s="723"/>
      <c r="K15" s="721" t="s">
        <v>242</v>
      </c>
      <c r="L15" s="737"/>
      <c r="M15" s="738"/>
      <c r="N15" s="39"/>
      <c r="O15" s="39"/>
      <c r="P15" s="39"/>
      <c r="Q15" s="39"/>
      <c r="R15" s="39"/>
      <c r="S15" s="39"/>
      <c r="T15" s="39"/>
      <c r="U15" s="39"/>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row>
    <row r="16" spans="1:53" s="97" customFormat="1" ht="30" hidden="1" customHeight="1" x14ac:dyDescent="0.25">
      <c r="A16" s="703" t="s">
        <v>202</v>
      </c>
      <c r="B16" s="704"/>
      <c r="C16" s="256">
        <f>'Bicycle Parking Invest. Input'!D77</f>
        <v>0</v>
      </c>
      <c r="D16" s="256">
        <f>'Bicycle Parking Invest. Input'!E77</f>
        <v>0</v>
      </c>
      <c r="E16" s="697">
        <f>SUM(Calculations!D35:D38)</f>
        <v>12000</v>
      </c>
      <c r="F16" s="698"/>
      <c r="G16" s="699"/>
      <c r="H16" s="697">
        <f>SUM(Calculations!G35:G38)</f>
        <v>0</v>
      </c>
      <c r="I16" s="698"/>
      <c r="J16" s="699"/>
      <c r="K16" s="739">
        <f>Calculations!N8</f>
        <v>0</v>
      </c>
      <c r="L16" s="740"/>
      <c r="M16" s="741"/>
      <c r="N16" s="39"/>
      <c r="O16" s="39"/>
      <c r="P16" s="39"/>
      <c r="Q16" s="39"/>
      <c r="R16" s="39"/>
      <c r="S16" s="39"/>
      <c r="T16" s="39"/>
      <c r="U16" s="39"/>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row>
    <row r="17" spans="1:53" s="97" customFormat="1" ht="30" customHeight="1" x14ac:dyDescent="0.25">
      <c r="A17" s="703" t="s">
        <v>203</v>
      </c>
      <c r="B17" s="704"/>
      <c r="C17" s="256">
        <f>'Bicycle Parking Invest. Input'!D82</f>
        <v>30</v>
      </c>
      <c r="D17" s="256">
        <f>'Bicycle Parking Invest. Input'!E82</f>
        <v>60</v>
      </c>
      <c r="E17" s="697">
        <f>SUM(Calculations!D30:D33)</f>
        <v>0</v>
      </c>
      <c r="F17" s="698"/>
      <c r="G17" s="699"/>
      <c r="H17" s="697">
        <f>SUM(Calculations!G30:G33)</f>
        <v>0</v>
      </c>
      <c r="I17" s="698"/>
      <c r="J17" s="699"/>
      <c r="K17" s="739">
        <f>Calculations!N7</f>
        <v>63.375</v>
      </c>
      <c r="L17" s="740"/>
      <c r="M17" s="741"/>
      <c r="N17" s="39"/>
      <c r="O17" s="39"/>
      <c r="P17" s="39"/>
      <c r="Q17" s="39"/>
      <c r="R17" s="39"/>
      <c r="S17" s="39"/>
      <c r="T17" s="39"/>
      <c r="U17" s="39"/>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row>
    <row r="18" spans="1:53" s="97" customFormat="1" ht="30" hidden="1" customHeight="1" x14ac:dyDescent="0.25">
      <c r="A18" s="703" t="s">
        <v>3</v>
      </c>
      <c r="B18" s="704"/>
      <c r="C18" s="256">
        <f>'Bicycle Parking Invest. Input'!D87</f>
        <v>0</v>
      </c>
      <c r="D18" s="256">
        <f>'Bicycle Parking Invest. Input'!E87</f>
        <v>0</v>
      </c>
      <c r="E18" s="697">
        <f>Calculations!D39</f>
        <v>0</v>
      </c>
      <c r="F18" s="698"/>
      <c r="G18" s="699"/>
      <c r="H18" s="697">
        <f>Calculations!E39</f>
        <v>0</v>
      </c>
      <c r="I18" s="698"/>
      <c r="J18" s="699"/>
      <c r="K18" s="739">
        <f>Calculations!N9</f>
        <v>0</v>
      </c>
      <c r="L18" s="740"/>
      <c r="M18" s="741"/>
      <c r="N18" s="39"/>
      <c r="O18" s="39"/>
      <c r="P18" s="39"/>
      <c r="Q18" s="39"/>
      <c r="R18" s="39"/>
      <c r="S18" s="39"/>
      <c r="T18" s="39"/>
      <c r="U18" s="39"/>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row>
    <row r="19" spans="1:53" s="97" customFormat="1" ht="30" customHeight="1" x14ac:dyDescent="0.25">
      <c r="A19" s="703" t="s">
        <v>4</v>
      </c>
      <c r="B19" s="704"/>
      <c r="C19" s="256">
        <f>'Bicycle Parking Invest. Input'!D88</f>
        <v>15</v>
      </c>
      <c r="D19" s="256">
        <f>'Bicycle Parking Invest. Input'!E88</f>
        <v>60</v>
      </c>
      <c r="E19" s="697">
        <f>Calculations!D40</f>
        <v>157500</v>
      </c>
      <c r="F19" s="698"/>
      <c r="G19" s="699"/>
      <c r="H19" s="697">
        <f>Calculations!E40</f>
        <v>6000</v>
      </c>
      <c r="I19" s="698"/>
      <c r="J19" s="699"/>
      <c r="K19" s="739">
        <f>Calculations!N10</f>
        <v>52.650000000000006</v>
      </c>
      <c r="L19" s="719"/>
      <c r="M19" s="720"/>
      <c r="N19" s="39"/>
      <c r="O19" s="39"/>
      <c r="P19" s="39"/>
      <c r="Q19" s="39"/>
      <c r="R19" s="39"/>
      <c r="S19" s="39"/>
      <c r="T19" s="39"/>
      <c r="U19" s="39"/>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row>
    <row r="20" spans="1:53" s="97" customFormat="1" ht="30" hidden="1" customHeight="1" x14ac:dyDescent="0.25">
      <c r="A20" s="703" t="s">
        <v>237</v>
      </c>
      <c r="B20" s="704"/>
      <c r="C20" s="256">
        <f>'Bicycle Parking Invest. Input'!D89</f>
        <v>0</v>
      </c>
      <c r="D20" s="256">
        <f>'Bicycle Parking Invest. Input'!E89</f>
        <v>0</v>
      </c>
      <c r="E20" s="697">
        <f>Calculations!D41</f>
        <v>0</v>
      </c>
      <c r="F20" s="698"/>
      <c r="G20" s="699"/>
      <c r="H20" s="697">
        <f>Calculations!E41</f>
        <v>0</v>
      </c>
      <c r="I20" s="698"/>
      <c r="J20" s="699"/>
      <c r="K20" s="739">
        <f>Calculations!N5</f>
        <v>0</v>
      </c>
      <c r="L20" s="740"/>
      <c r="M20" s="741"/>
      <c r="N20" s="39"/>
      <c r="O20" s="39"/>
      <c r="P20" s="39"/>
      <c r="Q20" s="39"/>
      <c r="R20" s="39"/>
      <c r="S20" s="39"/>
      <c r="T20" s="39"/>
      <c r="U20" s="39"/>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row>
    <row r="21" spans="1:53" s="97" customFormat="1" ht="30" customHeight="1" x14ac:dyDescent="0.25">
      <c r="A21" s="703" t="s">
        <v>238</v>
      </c>
      <c r="B21" s="704"/>
      <c r="C21" s="256">
        <f>'Bicycle Parking Invest. Input'!D90</f>
        <v>1</v>
      </c>
      <c r="D21" s="256">
        <f>'Bicycle Parking Invest. Input'!E90</f>
        <v>150</v>
      </c>
      <c r="E21" s="697">
        <f>Calculations!D42</f>
        <v>470870.19230769231</v>
      </c>
      <c r="F21" s="698"/>
      <c r="G21" s="699"/>
      <c r="H21" s="697">
        <f>Calculations!E42</f>
        <v>93600</v>
      </c>
      <c r="I21" s="698"/>
      <c r="J21" s="699"/>
      <c r="K21" s="739">
        <f>Calculations!N6</f>
        <v>315</v>
      </c>
      <c r="L21" s="740"/>
      <c r="M21" s="741"/>
      <c r="N21" s="39"/>
      <c r="O21" s="39"/>
      <c r="P21" s="39"/>
      <c r="Q21" s="39"/>
      <c r="R21" s="39"/>
      <c r="S21" s="39"/>
      <c r="T21" s="39"/>
      <c r="U21" s="39"/>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row>
    <row r="22" spans="1:53" s="97" customFormat="1" ht="30" hidden="1" customHeight="1" x14ac:dyDescent="0.25">
      <c r="A22" s="703" t="s">
        <v>239</v>
      </c>
      <c r="B22" s="704"/>
      <c r="C22" s="256">
        <f>'Bicycle Parking Invest. Input'!D92</f>
        <v>0</v>
      </c>
      <c r="D22" s="256">
        <f>'Bicycle Parking Invest. Input'!E92</f>
        <v>0</v>
      </c>
      <c r="E22" s="697">
        <f>Calculations!D43</f>
        <v>0</v>
      </c>
      <c r="F22" s="698"/>
      <c r="G22" s="699"/>
      <c r="H22" s="697">
        <f>Calculations!E43</f>
        <v>0</v>
      </c>
      <c r="I22" s="698"/>
      <c r="J22" s="699"/>
      <c r="K22" s="739">
        <f>Calculations!N11</f>
        <v>0</v>
      </c>
      <c r="L22" s="740"/>
      <c r="M22" s="741"/>
      <c r="N22" s="39"/>
      <c r="O22" s="39"/>
      <c r="P22" s="39"/>
      <c r="Q22" s="39"/>
      <c r="R22" s="39"/>
      <c r="S22" s="39"/>
      <c r="T22" s="39"/>
      <c r="U22" s="39"/>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row>
    <row r="23" spans="1:53" ht="30" customHeight="1" x14ac:dyDescent="0.25">
      <c r="A23" s="735" t="s">
        <v>164</v>
      </c>
      <c r="B23" s="736"/>
      <c r="C23" s="257">
        <f>SUM(C16:C22)</f>
        <v>46</v>
      </c>
      <c r="D23" s="257">
        <f>SUM(D16:D22)</f>
        <v>270</v>
      </c>
      <c r="E23" s="724">
        <f>SUM(E16:G22)</f>
        <v>640370.19230769225</v>
      </c>
      <c r="F23" s="725"/>
      <c r="G23" s="726"/>
      <c r="H23" s="724">
        <f>SUM(H16:J22)</f>
        <v>99600</v>
      </c>
      <c r="I23" s="725"/>
      <c r="J23" s="726"/>
      <c r="K23" s="718">
        <f>SUM(K16:M22)</f>
        <v>431.02499999999998</v>
      </c>
      <c r="L23" s="719"/>
      <c r="M23" s="720"/>
      <c r="N23" s="90"/>
      <c r="O23" s="39"/>
      <c r="P23" s="39"/>
      <c r="Q23" s="39"/>
      <c r="R23" s="39"/>
      <c r="S23" s="39"/>
      <c r="T23" s="39"/>
      <c r="U23" s="39"/>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row>
    <row r="24" spans="1:53" ht="30" customHeight="1" x14ac:dyDescent="0.25">
      <c r="A24" s="148"/>
      <c r="B24" s="146"/>
      <c r="C24" s="687" t="s">
        <v>235</v>
      </c>
      <c r="D24" s="688"/>
      <c r="E24" s="697">
        <f>'Bicycle Parking Invest. Input'!C9</f>
        <v>250000</v>
      </c>
      <c r="F24" s="698"/>
      <c r="G24" s="699"/>
      <c r="H24" s="697">
        <f>'Bicycle Parking Invest. Input'!C10</f>
        <v>7500</v>
      </c>
      <c r="I24" s="698"/>
      <c r="J24" s="699"/>
      <c r="K24" s="146"/>
      <c r="L24" s="146"/>
      <c r="M24" s="147"/>
      <c r="N24" s="39"/>
      <c r="O24" s="39"/>
      <c r="P24" s="39"/>
      <c r="Q24" s="39"/>
      <c r="R24" s="39"/>
      <c r="S24" s="39"/>
      <c r="T24" s="39"/>
      <c r="U24" s="39"/>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row>
    <row r="25" spans="1:53" s="97" customFormat="1" ht="30" customHeight="1" x14ac:dyDescent="0.25">
      <c r="A25" s="148"/>
      <c r="B25" s="146"/>
      <c r="C25" s="687" t="s">
        <v>236</v>
      </c>
      <c r="D25" s="688"/>
      <c r="E25" s="700">
        <f>E24-E23</f>
        <v>-390370.19230769225</v>
      </c>
      <c r="F25" s="701"/>
      <c r="G25" s="702"/>
      <c r="H25" s="700">
        <f>H24-H23</f>
        <v>-92100</v>
      </c>
      <c r="I25" s="701"/>
      <c r="J25" s="702"/>
      <c r="K25" s="146"/>
      <c r="L25" s="146"/>
      <c r="M25" s="147"/>
      <c r="N25" s="39"/>
      <c r="O25" s="39"/>
      <c r="P25" s="39"/>
      <c r="Q25" s="39"/>
      <c r="R25" s="39"/>
      <c r="S25" s="39"/>
      <c r="T25" s="39"/>
      <c r="U25" s="39"/>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row>
    <row r="26" spans="1:53" s="145" customFormat="1" ht="12.6" customHeight="1" x14ac:dyDescent="0.25">
      <c r="A26" s="148"/>
      <c r="B26" s="146"/>
      <c r="C26" s="144"/>
      <c r="D26" s="144"/>
      <c r="E26" s="143"/>
      <c r="F26" s="143"/>
      <c r="G26" s="143"/>
      <c r="H26" s="143"/>
      <c r="I26" s="143"/>
      <c r="J26" s="144"/>
      <c r="K26" s="146"/>
      <c r="L26" s="146"/>
      <c r="M26" s="147"/>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row>
    <row r="27" spans="1:53" s="145" customFormat="1" ht="30" customHeight="1" x14ac:dyDescent="0.25">
      <c r="A27" s="148"/>
      <c r="B27" s="146"/>
      <c r="C27" s="144"/>
      <c r="D27" s="144"/>
      <c r="E27" s="711" t="s">
        <v>255</v>
      </c>
      <c r="F27" s="711"/>
      <c r="G27" s="711"/>
      <c r="H27" s="711" t="s">
        <v>19</v>
      </c>
      <c r="I27" s="711"/>
      <c r="J27" s="687" t="s">
        <v>211</v>
      </c>
      <c r="K27" s="688"/>
      <c r="L27" s="146"/>
      <c r="M27" s="147"/>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row>
    <row r="28" spans="1:53" s="145" customFormat="1" ht="30" customHeight="1" x14ac:dyDescent="0.25">
      <c r="A28" s="148"/>
      <c r="B28" s="710" t="s">
        <v>256</v>
      </c>
      <c r="C28" s="710"/>
      <c r="D28" s="710"/>
      <c r="E28" s="712">
        <f>'Bicycle Parking Invest. Summary'!AC80</f>
        <v>224.90589399999999</v>
      </c>
      <c r="F28" s="712"/>
      <c r="G28" s="712"/>
      <c r="H28" s="712">
        <f>'Bicycle Parking Invest. Summary'!AD80</f>
        <v>655.93089399999997</v>
      </c>
      <c r="I28" s="712"/>
      <c r="J28" s="685">
        <f>'Bicycle Parking Invest. Summary'!AE80</f>
        <v>528</v>
      </c>
      <c r="K28" s="686"/>
      <c r="L28" s="146"/>
      <c r="M28" s="147"/>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row>
    <row r="29" spans="1:53" s="145" customFormat="1" ht="30" customHeight="1" x14ac:dyDescent="0.25">
      <c r="A29" s="148"/>
      <c r="B29" s="710" t="s">
        <v>257</v>
      </c>
      <c r="C29" s="710"/>
      <c r="D29" s="710"/>
      <c r="E29" s="713">
        <f>'Bicycle Parking Invest. Summary'!AC78</f>
        <v>3.4076650606060604E-2</v>
      </c>
      <c r="F29" s="713"/>
      <c r="G29" s="713"/>
      <c r="H29" s="713">
        <f>'Bicycle Parking Invest. Summary'!AD78</f>
        <v>9.3290934678798607E-2</v>
      </c>
      <c r="I29" s="713"/>
      <c r="J29" s="705">
        <f>'Bicycle Parking Invest. Summary'!AE78</f>
        <v>7.6507980993202954E-2</v>
      </c>
      <c r="K29" s="706"/>
      <c r="L29" s="146"/>
      <c r="M29" s="147"/>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row>
    <row r="30" spans="1:53" s="97" customFormat="1" ht="12.6" customHeight="1" x14ac:dyDescent="0.25">
      <c r="A30" s="148"/>
      <c r="B30" s="146"/>
      <c r="C30" s="146"/>
      <c r="D30" s="146"/>
      <c r="E30" s="146"/>
      <c r="F30" s="146"/>
      <c r="G30" s="146"/>
      <c r="H30" s="146"/>
      <c r="I30" s="146"/>
      <c r="J30" s="146"/>
      <c r="K30" s="146"/>
      <c r="L30" s="146"/>
      <c r="M30" s="147"/>
      <c r="N30" s="39"/>
      <c r="O30" s="39"/>
      <c r="P30" s="39"/>
      <c r="Q30" s="39"/>
      <c r="R30" s="39"/>
      <c r="S30" s="39"/>
      <c r="T30" s="39"/>
      <c r="U30" s="39"/>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row>
    <row r="31" spans="1:53" ht="30" customHeight="1" x14ac:dyDescent="0.25">
      <c r="A31" s="148"/>
      <c r="B31" s="557" t="s">
        <v>169</v>
      </c>
      <c r="C31" s="689"/>
      <c r="D31" s="558"/>
      <c r="E31" s="557" t="s">
        <v>447</v>
      </c>
      <c r="F31" s="689"/>
      <c r="G31" s="689"/>
      <c r="H31" s="689"/>
      <c r="I31" s="689"/>
      <c r="J31" s="689"/>
      <c r="K31" s="689"/>
      <c r="L31" s="558"/>
      <c r="M31" s="147"/>
      <c r="N31" s="39"/>
      <c r="O31" s="39"/>
      <c r="P31" s="39"/>
      <c r="Q31" s="39"/>
      <c r="R31" s="39"/>
      <c r="S31" s="39"/>
      <c r="T31" s="39"/>
      <c r="U31" s="39"/>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row>
    <row r="32" spans="1:53" ht="30" customHeight="1" x14ac:dyDescent="0.25">
      <c r="A32" s="148"/>
      <c r="B32" s="707" t="s">
        <v>446</v>
      </c>
      <c r="C32" s="708"/>
      <c r="D32" s="709"/>
      <c r="E32" s="697">
        <f>IFERROR(ROUND((E23+H23)/K23,-1),"N/A")</f>
        <v>1720</v>
      </c>
      <c r="F32" s="698"/>
      <c r="G32" s="698"/>
      <c r="H32" s="698"/>
      <c r="I32" s="698"/>
      <c r="J32" s="698"/>
      <c r="K32" s="698"/>
      <c r="L32" s="699"/>
      <c r="M32" s="147"/>
      <c r="N32" s="39"/>
      <c r="O32" s="39"/>
      <c r="P32" s="39"/>
      <c r="Q32" s="39"/>
      <c r="R32" s="39"/>
      <c r="S32" s="39"/>
      <c r="T32" s="39"/>
      <c r="U32" s="39"/>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row>
    <row r="33" spans="1:53" ht="30" customHeight="1" x14ac:dyDescent="0.25">
      <c r="A33" s="148"/>
      <c r="B33" s="707" t="s">
        <v>229</v>
      </c>
      <c r="C33" s="708"/>
      <c r="D33" s="709"/>
      <c r="E33" s="697">
        <f>Calculations!B47</f>
        <v>7700</v>
      </c>
      <c r="F33" s="698"/>
      <c r="G33" s="698"/>
      <c r="H33" s="698"/>
      <c r="I33" s="698"/>
      <c r="J33" s="698"/>
      <c r="K33" s="698"/>
      <c r="L33" s="699"/>
      <c r="M33" s="147"/>
      <c r="N33" s="39"/>
      <c r="O33" s="39"/>
      <c r="P33" s="39"/>
      <c r="Q33" s="39"/>
      <c r="R33" s="39"/>
      <c r="S33" s="39"/>
      <c r="T33" s="39"/>
      <c r="U33" s="39"/>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row>
    <row r="34" spans="1:53" ht="30" customHeight="1" x14ac:dyDescent="0.25">
      <c r="A34" s="148"/>
      <c r="B34" s="707" t="s">
        <v>170</v>
      </c>
      <c r="C34" s="708"/>
      <c r="D34" s="709"/>
      <c r="E34" s="697">
        <f>Calculations!B48</f>
        <v>41900</v>
      </c>
      <c r="F34" s="698"/>
      <c r="G34" s="698"/>
      <c r="H34" s="698"/>
      <c r="I34" s="698"/>
      <c r="J34" s="698"/>
      <c r="K34" s="698"/>
      <c r="L34" s="699"/>
      <c r="M34" s="147"/>
      <c r="N34" s="39"/>
      <c r="O34" s="39"/>
      <c r="P34" s="39"/>
      <c r="Q34" s="39"/>
      <c r="R34" s="39"/>
      <c r="S34" s="39"/>
      <c r="T34" s="39"/>
      <c r="U34" s="39"/>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row>
    <row r="35" spans="1:53" ht="9.9499999999999993" customHeight="1" x14ac:dyDescent="0.25">
      <c r="A35" s="151"/>
      <c r="B35" s="149"/>
      <c r="C35" s="149"/>
      <c r="D35" s="149"/>
      <c r="E35" s="149"/>
      <c r="F35" s="149"/>
      <c r="G35" s="149"/>
      <c r="H35" s="149"/>
      <c r="I35" s="149"/>
      <c r="J35" s="149"/>
      <c r="K35" s="149"/>
      <c r="L35" s="149"/>
      <c r="M35" s="150"/>
      <c r="N35" s="39"/>
      <c r="O35" s="39"/>
      <c r="P35" s="39"/>
      <c r="Q35" s="39"/>
      <c r="R35" s="39"/>
      <c r="S35" s="39"/>
      <c r="T35" s="39"/>
      <c r="U35" s="39"/>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row>
    <row r="36" spans="1:53" s="97" customFormat="1" ht="39" customHeight="1" x14ac:dyDescent="0.25">
      <c r="A36" s="600" t="s">
        <v>243</v>
      </c>
      <c r="B36" s="601"/>
      <c r="C36" s="601"/>
      <c r="D36" s="601"/>
      <c r="E36" s="601"/>
      <c r="F36" s="601"/>
      <c r="G36" s="601"/>
      <c r="H36" s="601"/>
      <c r="I36" s="601"/>
      <c r="J36" s="601"/>
      <c r="K36" s="601"/>
      <c r="L36" s="601"/>
      <c r="M36" s="602"/>
      <c r="N36" s="39"/>
      <c r="O36" s="39"/>
      <c r="P36" s="39"/>
      <c r="Q36" s="39"/>
      <c r="R36" s="39"/>
      <c r="S36" s="39"/>
      <c r="T36" s="39"/>
      <c r="U36" s="39"/>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row>
    <row r="37" spans="1:53" s="145" customFormat="1" ht="39" customHeight="1" x14ac:dyDescent="0.25">
      <c r="A37" s="148"/>
      <c r="B37" s="146"/>
      <c r="C37" s="146"/>
      <c r="D37" s="146"/>
      <c r="E37" s="146"/>
      <c r="F37" s="146"/>
      <c r="G37" s="146"/>
      <c r="H37" s="146"/>
      <c r="I37" s="146"/>
      <c r="J37" s="146"/>
      <c r="K37" s="146"/>
      <c r="L37" s="146"/>
      <c r="M37" s="147"/>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row>
    <row r="38" spans="1:53" s="97" customFormat="1" ht="39" customHeight="1" x14ac:dyDescent="0.25">
      <c r="A38" s="148"/>
      <c r="B38" s="146"/>
      <c r="C38" s="146"/>
      <c r="D38" s="146"/>
      <c r="E38" s="146"/>
      <c r="F38" s="146"/>
      <c r="G38" s="146"/>
      <c r="H38" s="146"/>
      <c r="I38" s="146"/>
      <c r="J38" s="146"/>
      <c r="K38" s="146"/>
      <c r="L38" s="146"/>
      <c r="M38" s="147"/>
      <c r="N38" s="39"/>
      <c r="O38" s="39"/>
      <c r="P38" s="39"/>
      <c r="Q38" s="39"/>
      <c r="R38" s="39"/>
      <c r="S38" s="39"/>
      <c r="T38" s="39"/>
      <c r="U38" s="39"/>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row>
    <row r="39" spans="1:53" ht="45.95" customHeight="1" x14ac:dyDescent="0.25">
      <c r="A39" s="690" t="s">
        <v>172</v>
      </c>
      <c r="B39" s="691"/>
      <c r="C39" s="692" t="s">
        <v>216</v>
      </c>
      <c r="D39" s="692"/>
      <c r="E39" s="693" t="s">
        <v>217</v>
      </c>
      <c r="F39" s="693"/>
      <c r="G39" s="693"/>
      <c r="H39" s="693"/>
      <c r="I39" s="694" t="s">
        <v>218</v>
      </c>
      <c r="J39" s="694"/>
      <c r="K39" s="694"/>
      <c r="L39" s="695" t="s">
        <v>219</v>
      </c>
      <c r="M39" s="696"/>
      <c r="N39" s="39"/>
      <c r="O39" s="39"/>
      <c r="P39" s="39"/>
      <c r="Q39" s="39"/>
      <c r="R39" s="39"/>
      <c r="S39" s="39"/>
      <c r="T39" s="39"/>
      <c r="U39" s="39"/>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row>
    <row r="40" spans="1:53" s="97" customFormat="1" ht="45.95" customHeight="1" x14ac:dyDescent="0.25">
      <c r="A40" s="714" t="str">
        <f ca="1">IF('Support Strategies'!J10="","None selected",'Support Strategies'!J10)</f>
        <v>Develop and install wayfinding signage</v>
      </c>
      <c r="B40" s="684"/>
      <c r="C40" s="682" t="str">
        <f ca="1">IF('Support Strategies'!J26="","None selected",'Support Strategies'!J26)</f>
        <v>Provide adequate bicycle parking of each type</v>
      </c>
      <c r="D40" s="682"/>
      <c r="E40" s="684" t="str">
        <f ca="1">IF('Support Strategies'!J42="","None selected",'Support Strategies'!J42)</f>
        <v>Evaluate and implement bicycle sharing at BART stations</v>
      </c>
      <c r="F40" s="684"/>
      <c r="G40" s="684" t="str">
        <f ca="1">IF('Support Strategies'!P10="","None selected",'Support Strategies'!P10)</f>
        <v>Revisit bicycles on escalators policy</v>
      </c>
      <c r="H40" s="684"/>
      <c r="I40" s="684" t="str">
        <f ca="1">IF('Support Strategies'!J58="","None selected",'Support Strategies'!J58)</f>
        <v>None selected</v>
      </c>
      <c r="J40" s="684"/>
      <c r="K40" s="684"/>
      <c r="L40" s="682" t="str">
        <f ca="1">IF('Support Strategies'!J74="","None selected",'Support Strategies'!J74)</f>
        <v>None selected</v>
      </c>
      <c r="M40" s="683"/>
      <c r="N40" s="39"/>
      <c r="O40" s="39"/>
      <c r="P40" s="39"/>
      <c r="Q40" s="39"/>
      <c r="R40" s="39"/>
      <c r="S40" s="39"/>
      <c r="T40" s="39"/>
      <c r="U40" s="39"/>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row>
    <row r="41" spans="1:53" s="97" customFormat="1" ht="45.95" customHeight="1" x14ac:dyDescent="0.25">
      <c r="A41" s="681" t="str">
        <f ca="1">IF('Support Strategies'!J11="","",'Support Strategies'!J11)</f>
        <v>Optimize routes between surrounding network and fare gates</v>
      </c>
      <c r="B41" s="682"/>
      <c r="C41" s="682" t="str">
        <f ca="1">IF('Support Strategies'!J27="","",'Support Strategies'!J27)</f>
        <v>Light all bike parking areas</v>
      </c>
      <c r="D41" s="682"/>
      <c r="E41" s="682" t="str">
        <f ca="1">IF('Support Strategies'!J43="","",'Support Strategies'!J43)</f>
        <v>Support local efforts to improve bike access to stations</v>
      </c>
      <c r="F41" s="682"/>
      <c r="G41" s="682" t="str">
        <f ca="1">IF('Support Strategies'!P11="","",'Support Strategies'!P11)</f>
        <v/>
      </c>
      <c r="H41" s="682"/>
      <c r="I41" s="682" t="str">
        <f ca="1">IF('Support Strategies'!J59="","",'Support Strategies'!J59)</f>
        <v/>
      </c>
      <c r="J41" s="682"/>
      <c r="K41" s="682"/>
      <c r="L41" s="682" t="str">
        <f ca="1">IF('Support Strategies'!J75="","",'Support Strategies'!J75)</f>
        <v/>
      </c>
      <c r="M41" s="683"/>
      <c r="N41" s="39"/>
      <c r="O41" s="39"/>
      <c r="P41" s="39"/>
      <c r="Q41" s="39"/>
      <c r="R41" s="39"/>
      <c r="S41" s="39"/>
      <c r="T41" s="39"/>
      <c r="U41" s="39"/>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row>
    <row r="42" spans="1:53" s="97" customFormat="1" ht="45.95" customHeight="1" x14ac:dyDescent="0.25">
      <c r="A42" s="681" t="str">
        <f ca="1">IF('Support Strategies'!J12="","",'Support Strategies'!J12)</f>
        <v>Evaluate and install stairway channels</v>
      </c>
      <c r="B42" s="682"/>
      <c r="C42" s="682" t="str">
        <f ca="1">IF('Support Strategies'!J28="","",'Support Strategies'!J28)</f>
        <v>Maintain bicycle facilities more frequently</v>
      </c>
      <c r="D42" s="682"/>
      <c r="E42" s="682" t="str">
        <f ca="1">IF('Support Strategies'!J44="","",'Support Strategies'!J44)</f>
        <v>Create catchment area maps with recommended bike routes</v>
      </c>
      <c r="F42" s="682"/>
      <c r="G42" s="682" t="str">
        <f ca="1">IF('Support Strategies'!P12="","",'Support Strategies'!P12)</f>
        <v/>
      </c>
      <c r="H42" s="682"/>
      <c r="I42" s="682" t="str">
        <f ca="1">IF('Support Strategies'!J60="","",'Support Strategies'!J60)</f>
        <v/>
      </c>
      <c r="J42" s="682"/>
      <c r="K42" s="682"/>
      <c r="L42" s="682" t="str">
        <f ca="1">IF('Support Strategies'!J76="","",'Support Strategies'!J76)</f>
        <v/>
      </c>
      <c r="M42" s="683"/>
      <c r="N42" s="39"/>
      <c r="O42" s="39"/>
      <c r="P42" s="39"/>
      <c r="Q42" s="39"/>
      <c r="R42" s="39"/>
      <c r="S42" s="39"/>
      <c r="T42" s="39"/>
      <c r="U42" s="39"/>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row>
    <row r="43" spans="1:53" s="97" customFormat="1" ht="45.95" customHeight="1" x14ac:dyDescent="0.25">
      <c r="A43" s="681" t="str">
        <f ca="1">IF('Support Strategies'!J13="","",'Support Strategies'!J13)</f>
        <v>Clean elevators regularly</v>
      </c>
      <c r="B43" s="682"/>
      <c r="C43" s="682" t="str">
        <f ca="1">IF('Support Strategies'!J29="","",'Support Strategies'!J29)</f>
        <v>Allow Clipper payment for bike parking</v>
      </c>
      <c r="D43" s="682"/>
      <c r="E43" s="682" t="str">
        <f>IF('Support Strategies'!J45="","",'Support Strategies'!J45)</f>
        <v/>
      </c>
      <c r="F43" s="682"/>
      <c r="G43" s="682" t="str">
        <f ca="1">IF('Support Strategies'!P13="","",'Support Strategies'!P13)</f>
        <v/>
      </c>
      <c r="H43" s="682"/>
      <c r="I43" s="682" t="str">
        <f ca="1">IF('Support Strategies'!J61="","",'Support Strategies'!J61)</f>
        <v/>
      </c>
      <c r="J43" s="682"/>
      <c r="K43" s="682"/>
      <c r="L43" s="682" t="str">
        <f ca="1">IF('Support Strategies'!J77="","",'Support Strategies'!J77)</f>
        <v/>
      </c>
      <c r="M43" s="683"/>
      <c r="N43" s="39"/>
      <c r="O43" s="39"/>
      <c r="P43" s="39"/>
      <c r="Q43" s="39"/>
      <c r="R43" s="39"/>
      <c r="S43" s="39"/>
      <c r="T43" s="39"/>
      <c r="U43" s="39"/>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row>
    <row r="44" spans="1:53" s="97" customFormat="1" ht="45.95" customHeight="1" x14ac:dyDescent="0.25">
      <c r="A44" s="681" t="str">
        <f ca="1">IF('Support Strategies'!J14="","",'Support Strategies'!J14)</f>
        <v>Install additional ADA-accessible fare gates</v>
      </c>
      <c r="B44" s="682"/>
      <c r="C44" s="682" t="str">
        <f ca="1">IF('Support Strategies'!J30="","",'Support Strategies'!J30)</f>
        <v>Manage eLocker demand through price variation</v>
      </c>
      <c r="D44" s="682"/>
      <c r="E44" s="682" t="str">
        <f>IF('Support Strategies'!J46="","",'Support Strategies'!J46)</f>
        <v/>
      </c>
      <c r="F44" s="682"/>
      <c r="G44" s="682" t="str">
        <f ca="1">IF('Support Strategies'!P14="","",'Support Strategies'!P14)</f>
        <v/>
      </c>
      <c r="H44" s="682"/>
      <c r="I44" s="682" t="str">
        <f ca="1">IF('Support Strategies'!J62="","",'Support Strategies'!J62)</f>
        <v/>
      </c>
      <c r="J44" s="682"/>
      <c r="K44" s="682"/>
      <c r="L44" s="682" t="str">
        <f ca="1">IF('Support Strategies'!J78="","",'Support Strategies'!J78)</f>
        <v/>
      </c>
      <c r="M44" s="683"/>
      <c r="N44" s="39"/>
      <c r="O44" s="39"/>
      <c r="P44" s="39"/>
      <c r="Q44" s="39"/>
      <c r="R44" s="39"/>
      <c r="S44" s="39"/>
      <c r="T44" s="39"/>
      <c r="U44" s="39"/>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row>
    <row r="45" spans="1:53" s="97" customFormat="1" ht="45.95" customHeight="1" x14ac:dyDescent="0.25">
      <c r="A45" s="681" t="str">
        <f ca="1">IF('Support Strategies'!J15="","",'Support Strategies'!J15)</f>
        <v>Install ADA-accessible fare gates adjacent to elevators</v>
      </c>
      <c r="B45" s="682"/>
      <c r="C45" s="682" t="str">
        <f ca="1">IF('Support Strategies'!J31="","",'Support Strategies'!J31)</f>
        <v/>
      </c>
      <c r="D45" s="682"/>
      <c r="E45" s="682" t="str">
        <f>IF('Support Strategies'!J47="","",'Support Strategies'!J47)</f>
        <v/>
      </c>
      <c r="F45" s="682"/>
      <c r="G45" s="682" t="str">
        <f ca="1">IF('Support Strategies'!P15="","",'Support Strategies'!P15)</f>
        <v/>
      </c>
      <c r="H45" s="682"/>
      <c r="I45" s="682" t="str">
        <f ca="1">IF('Support Strategies'!J63="","",'Support Strategies'!J63)</f>
        <v/>
      </c>
      <c r="J45" s="682"/>
      <c r="K45" s="682"/>
      <c r="L45" s="682" t="str">
        <f ca="1">IF('Support Strategies'!J79="","",'Support Strategies'!J79)</f>
        <v/>
      </c>
      <c r="M45" s="683"/>
      <c r="N45" s="39"/>
      <c r="O45" s="39"/>
      <c r="P45" s="39"/>
      <c r="Q45" s="39"/>
      <c r="R45" s="39"/>
      <c r="S45" s="39"/>
      <c r="T45" s="39"/>
      <c r="U45" s="39"/>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row>
    <row r="46" spans="1:53" s="97" customFormat="1" ht="45.95" customHeight="1" x14ac:dyDescent="0.25">
      <c r="A46" s="681" t="str">
        <f ca="1">IF('Support Strategies'!J16="","",'Support Strategies'!J16)</f>
        <v/>
      </c>
      <c r="B46" s="682"/>
      <c r="C46" s="682" t="str">
        <f ca="1">IF('Support Strategies'!J32="","",'Support Strategies'!J32)</f>
        <v/>
      </c>
      <c r="D46" s="682"/>
      <c r="E46" s="682" t="str">
        <f>IF('Support Strategies'!J48="","",'Support Strategies'!J48)</f>
        <v/>
      </c>
      <c r="F46" s="682"/>
      <c r="G46" s="682" t="str">
        <f ca="1">IF('Support Strategies'!P16="","",'Support Strategies'!P16)</f>
        <v/>
      </c>
      <c r="H46" s="682"/>
      <c r="I46" s="682" t="str">
        <f>IF('Support Strategies'!J64="","",'Support Strategies'!J64)</f>
        <v/>
      </c>
      <c r="J46" s="682"/>
      <c r="K46" s="682"/>
      <c r="L46" s="682" t="str">
        <f ca="1">IF('Support Strategies'!J80="","",'Support Strategies'!J80)</f>
        <v/>
      </c>
      <c r="M46" s="683"/>
      <c r="N46" s="39"/>
      <c r="O46" s="39"/>
      <c r="P46" s="39"/>
      <c r="Q46" s="39"/>
      <c r="R46" s="39"/>
      <c r="S46" s="39"/>
      <c r="T46" s="39"/>
      <c r="U46" s="39"/>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row>
    <row r="47" spans="1:53" ht="45.95" customHeight="1" x14ac:dyDescent="0.25">
      <c r="A47" s="678" t="str">
        <f ca="1">IF('Support Strategies'!J17="","",'Support Strategies'!J17)</f>
        <v/>
      </c>
      <c r="B47" s="679"/>
      <c r="C47" s="679" t="str">
        <f ca="1">IF('Support Strategies'!J33="","",'Support Strategies'!J33)</f>
        <v/>
      </c>
      <c r="D47" s="679"/>
      <c r="E47" s="679" t="str">
        <f>IF('Support Strategies'!J49="","",'Support Strategies'!J49)</f>
        <v/>
      </c>
      <c r="F47" s="679"/>
      <c r="G47" s="679" t="str">
        <f ca="1">IF('Support Strategies'!P17="","",'Support Strategies'!P17)</f>
        <v/>
      </c>
      <c r="H47" s="679"/>
      <c r="I47" s="679" t="str">
        <f>IF('Support Strategies'!J65="","",'Support Strategies'!J65)</f>
        <v/>
      </c>
      <c r="J47" s="679"/>
      <c r="K47" s="679"/>
      <c r="L47" s="679" t="str">
        <f ca="1">IF('Support Strategies'!J81="","",'Support Strategies'!J81)</f>
        <v/>
      </c>
      <c r="M47" s="680"/>
      <c r="N47" s="39"/>
      <c r="O47" s="39"/>
      <c r="P47" s="39"/>
      <c r="Q47" s="39"/>
      <c r="R47" s="39"/>
      <c r="S47" s="39"/>
      <c r="T47" s="39"/>
      <c r="U47" s="39"/>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row>
    <row r="48" spans="1:53" s="97" customFormat="1" ht="45.95" customHeight="1" x14ac:dyDescent="0.25">
      <c r="A48" s="600" t="s">
        <v>254</v>
      </c>
      <c r="B48" s="601"/>
      <c r="C48" s="601"/>
      <c r="D48" s="601"/>
      <c r="E48" s="601"/>
      <c r="F48" s="601"/>
      <c r="G48" s="601"/>
      <c r="H48" s="601"/>
      <c r="I48" s="601"/>
      <c r="J48" s="601"/>
      <c r="K48" s="601"/>
      <c r="L48" s="601"/>
      <c r="M48" s="602"/>
      <c r="N48" s="39"/>
      <c r="O48" s="39"/>
      <c r="P48" s="39"/>
      <c r="Q48" s="39"/>
      <c r="R48" s="39"/>
      <c r="S48" s="39"/>
      <c r="T48" s="39"/>
      <c r="U48" s="39"/>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row>
    <row r="49" spans="1:53" s="145" customFormat="1" ht="39" customHeight="1" x14ac:dyDescent="0.25">
      <c r="A49" s="148"/>
      <c r="B49" s="146"/>
      <c r="C49" s="146"/>
      <c r="D49" s="146"/>
      <c r="E49" s="146"/>
      <c r="F49" s="146"/>
      <c r="G49" s="146"/>
      <c r="H49" s="146"/>
      <c r="I49" s="146"/>
      <c r="J49" s="146"/>
      <c r="K49" s="146"/>
      <c r="L49" s="146"/>
      <c r="M49" s="147"/>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row>
    <row r="50" spans="1:53" s="97" customFormat="1" ht="39" customHeight="1" x14ac:dyDescent="0.25">
      <c r="A50" s="148"/>
      <c r="B50" s="146"/>
      <c r="C50" s="146"/>
      <c r="D50" s="146"/>
      <c r="E50" s="146"/>
      <c r="F50" s="146"/>
      <c r="G50" s="146"/>
      <c r="H50" s="146"/>
      <c r="I50" s="146"/>
      <c r="J50" s="146"/>
      <c r="K50" s="146"/>
      <c r="L50" s="146"/>
      <c r="M50" s="147"/>
      <c r="N50" s="39"/>
      <c r="O50" s="39"/>
      <c r="P50" s="39"/>
      <c r="Q50" s="39"/>
      <c r="R50" s="39"/>
      <c r="S50" s="39"/>
      <c r="T50" s="39"/>
      <c r="U50" s="39"/>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row>
    <row r="51" spans="1:53" s="97" customFormat="1" ht="45.95" customHeight="1" x14ac:dyDescent="0.25">
      <c r="A51" s="690" t="s">
        <v>172</v>
      </c>
      <c r="B51" s="691"/>
      <c r="C51" s="692" t="s">
        <v>216</v>
      </c>
      <c r="D51" s="692"/>
      <c r="E51" s="693" t="s">
        <v>217</v>
      </c>
      <c r="F51" s="693"/>
      <c r="G51" s="693"/>
      <c r="H51" s="693"/>
      <c r="I51" s="694" t="s">
        <v>218</v>
      </c>
      <c r="J51" s="694"/>
      <c r="K51" s="694"/>
      <c r="L51" s="695" t="s">
        <v>219</v>
      </c>
      <c r="M51" s="696"/>
      <c r="N51" s="39"/>
      <c r="O51" s="39"/>
      <c r="P51" s="39"/>
      <c r="Q51" s="39"/>
      <c r="R51" s="39"/>
      <c r="S51" s="39"/>
      <c r="T51" s="39"/>
      <c r="U51" s="39"/>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row>
    <row r="52" spans="1:53" s="97" customFormat="1" ht="45.95" customHeight="1" x14ac:dyDescent="0.25">
      <c r="A52" s="681" t="str">
        <f ca="1">IF('Support Strategies'!P10="","None selected",'Support Strategies'!P10)</f>
        <v>Revisit bicycles on escalators policy</v>
      </c>
      <c r="B52" s="682"/>
      <c r="C52" s="682" t="str">
        <f ca="1">IF('Support Strategies'!P26="","None selected",'Support Strategies'!P26)</f>
        <v>None selected</v>
      </c>
      <c r="D52" s="682"/>
      <c r="E52" s="684" t="str">
        <f ca="1">IF('Support Strategies'!P42="","None selected",'Support Strategies'!P42)</f>
        <v>None selected</v>
      </c>
      <c r="F52" s="684"/>
      <c r="G52" s="684" t="str">
        <f>IF('Support Strategies'!P22="","None selected",'Support Strategies'!P22)</f>
        <v>None selected</v>
      </c>
      <c r="H52" s="684"/>
      <c r="I52" s="684" t="str">
        <f ca="1">IF('Support Strategies'!P58="","None selected",'Support Strategies'!P58)</f>
        <v>Provide space for bicycles in new BART cars</v>
      </c>
      <c r="J52" s="684"/>
      <c r="K52" s="684"/>
      <c r="L52" s="682" t="str">
        <f ca="1">IF('Support Strategies'!P74="","None selected",'Support Strategies'!P74)</f>
        <v>Educate passengers and staff in order to encourage bicycle access</v>
      </c>
      <c r="M52" s="683"/>
      <c r="N52" s="39"/>
      <c r="O52" s="39"/>
      <c r="P52" s="39"/>
      <c r="Q52" s="39"/>
      <c r="R52" s="39"/>
      <c r="S52" s="39"/>
      <c r="T52" s="39"/>
      <c r="U52" s="39"/>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row>
    <row r="53" spans="1:53" s="97" customFormat="1" ht="45.95" customHeight="1" x14ac:dyDescent="0.25">
      <c r="A53" s="681" t="str">
        <f ca="1">IF('Support Strategies'!P11="","",'Support Strategies'!P11)</f>
        <v/>
      </c>
      <c r="B53" s="682"/>
      <c r="C53" s="682" t="str">
        <f ca="1">IF('Support Strategies'!P27="","",'Support Strategies'!P27)</f>
        <v/>
      </c>
      <c r="D53" s="682"/>
      <c r="E53" s="682" t="str">
        <f ca="1">IF('Support Strategies'!P43="","",'Support Strategies'!P43)</f>
        <v/>
      </c>
      <c r="F53" s="682"/>
      <c r="G53" s="682" t="str">
        <f>IF('Support Strategies'!P55="","",'Support Strategies'!P55)</f>
        <v/>
      </c>
      <c r="H53" s="682"/>
      <c r="I53" s="682" t="str">
        <f ca="1">IF('Support Strategies'!P59="","",'Support Strategies'!P59)</f>
        <v>Evaluate blackout periods</v>
      </c>
      <c r="J53" s="682"/>
      <c r="K53" s="682"/>
      <c r="L53" s="682" t="str">
        <f ca="1">IF('Support Strategies'!P75="","",'Support Strategies'!P75)</f>
        <v>Improve communications with BART customers on bicycle policies</v>
      </c>
      <c r="M53" s="683"/>
      <c r="N53" s="39"/>
      <c r="O53" s="39"/>
      <c r="P53" s="39"/>
      <c r="Q53" s="39"/>
      <c r="R53" s="39"/>
      <c r="S53" s="39"/>
      <c r="T53" s="39"/>
      <c r="U53" s="39"/>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row>
    <row r="54" spans="1:53" ht="45.95" customHeight="1" x14ac:dyDescent="0.25">
      <c r="A54" s="681" t="str">
        <f ca="1">IF('Support Strategies'!P12="","",'Support Strategies'!P12)</f>
        <v/>
      </c>
      <c r="B54" s="682"/>
      <c r="C54" s="682" t="str">
        <f ca="1">IF('Support Strategies'!P28="","",'Support Strategies'!P28)</f>
        <v/>
      </c>
      <c r="D54" s="682"/>
      <c r="E54" s="682" t="str">
        <f ca="1">IF('Support Strategies'!P44="","",'Support Strategies'!P44)</f>
        <v/>
      </c>
      <c r="F54" s="682"/>
      <c r="G54" s="682" t="str">
        <f>IF('Support Strategies'!P56="","",'Support Strategies'!P56)</f>
        <v/>
      </c>
      <c r="H54" s="682"/>
      <c r="I54" s="682" t="str">
        <f ca="1">IF('Support Strategies'!P60="","",'Support Strategies'!P60)</f>
        <v>Develop a folding bicycle incentive program</v>
      </c>
      <c r="J54" s="682"/>
      <c r="K54" s="682"/>
      <c r="L54" s="682" t="str">
        <f ca="1">IF('Support Strategies'!P76="","",'Support Strategies'!P76)</f>
        <v>Collect access mode data before/after bike improvements</v>
      </c>
      <c r="M54" s="683"/>
      <c r="N54" s="39"/>
      <c r="O54" s="39"/>
      <c r="P54" s="39"/>
      <c r="Q54" s="39"/>
      <c r="R54" s="39"/>
      <c r="S54" s="39"/>
      <c r="T54" s="39"/>
      <c r="U54" s="39"/>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row>
    <row r="55" spans="1:53" s="97" customFormat="1" ht="45.95" customHeight="1" x14ac:dyDescent="0.25">
      <c r="A55" s="681" t="str">
        <f ca="1">IF('Support Strategies'!P13="","",'Support Strategies'!P13)</f>
        <v/>
      </c>
      <c r="B55" s="682"/>
      <c r="C55" s="682" t="str">
        <f ca="1">IF('Support Strategies'!P29="","",'Support Strategies'!P29)</f>
        <v/>
      </c>
      <c r="D55" s="682"/>
      <c r="E55" s="682" t="str">
        <f>IF('Support Strategies'!P45="","",'Support Strategies'!P45)</f>
        <v/>
      </c>
      <c r="F55" s="682"/>
      <c r="G55" s="682" t="str">
        <f>IF('Support Strategies'!P57="","",'Support Strategies'!P57)</f>
        <v>system sort4</v>
      </c>
      <c r="H55" s="682"/>
      <c r="I55" s="682" t="str">
        <f ca="1">IF('Support Strategies'!P61="","",'Support Strategies'!P61)</f>
        <v/>
      </c>
      <c r="J55" s="682"/>
      <c r="K55" s="682"/>
      <c r="L55" s="682" t="str">
        <f ca="1">IF('Support Strategies'!P77="","",'Support Strategies'!P77)</f>
        <v>Evaluate and increase automobile parking fees</v>
      </c>
      <c r="M55" s="683"/>
      <c r="N55" s="39"/>
      <c r="O55" s="39"/>
      <c r="P55" s="39"/>
      <c r="Q55" s="39"/>
      <c r="R55" s="39"/>
      <c r="S55" s="39"/>
      <c r="T55" s="39"/>
      <c r="U55" s="39"/>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row>
    <row r="56" spans="1:53" s="97" customFormat="1" ht="45.95" customHeight="1" x14ac:dyDescent="0.25">
      <c r="A56" s="681" t="str">
        <f ca="1">IF('Support Strategies'!P14="","",'Support Strategies'!P14)</f>
        <v/>
      </c>
      <c r="B56" s="682"/>
      <c r="C56" s="682" t="str">
        <f ca="1">IF('Support Strategies'!P30="","",'Support Strategies'!P30)</f>
        <v/>
      </c>
      <c r="D56" s="682"/>
      <c r="E56" s="682" t="str">
        <f>IF('Support Strategies'!P46="","",'Support Strategies'!P46)</f>
        <v/>
      </c>
      <c r="F56" s="682"/>
      <c r="G56" s="682" t="str">
        <f ca="1">IF('Support Strategies'!P58="","",'Support Strategies'!P58)</f>
        <v>Provide space for bicycles in new BART cars</v>
      </c>
      <c r="H56" s="682"/>
      <c r="I56" s="682" t="str">
        <f ca="1">IF('Support Strategies'!P62="","",'Support Strategies'!P62)</f>
        <v/>
      </c>
      <c r="J56" s="682"/>
      <c r="K56" s="682"/>
      <c r="L56" s="682" t="str">
        <f ca="1">IF('Support Strategies'!P78="","",'Support Strategies'!P78)</f>
        <v>Participate in more bike-to-work day events</v>
      </c>
      <c r="M56" s="683"/>
      <c r="N56" s="39"/>
      <c r="O56" s="39"/>
      <c r="P56" s="39"/>
      <c r="Q56" s="39"/>
      <c r="R56" s="39"/>
      <c r="S56" s="39"/>
      <c r="T56" s="39"/>
      <c r="U56" s="39"/>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row>
    <row r="57" spans="1:53" s="97" customFormat="1" ht="45.95" customHeight="1" x14ac:dyDescent="0.25">
      <c r="A57" s="681" t="str">
        <f ca="1">IF('Support Strategies'!P15="","",'Support Strategies'!P15)</f>
        <v/>
      </c>
      <c r="B57" s="682"/>
      <c r="C57" s="682" t="str">
        <f ca="1">IF('Support Strategies'!P31="","",'Support Strategies'!P31)</f>
        <v/>
      </c>
      <c r="D57" s="682"/>
      <c r="E57" s="682" t="str">
        <f>IF('Support Strategies'!P47="","",'Support Strategies'!P47)</f>
        <v/>
      </c>
      <c r="F57" s="682"/>
      <c r="G57" s="682" t="str">
        <f ca="1">IF('Support Strategies'!P59="","",'Support Strategies'!P59)</f>
        <v>Evaluate blackout periods</v>
      </c>
      <c r="H57" s="682"/>
      <c r="I57" s="682" t="str">
        <f ca="1">IF('Support Strategies'!P63="","",'Support Strategies'!P63)</f>
        <v/>
      </c>
      <c r="J57" s="682"/>
      <c r="K57" s="682"/>
      <c r="L57" s="682" t="str">
        <f ca="1">IF('Support Strategies'!P79="","",'Support Strategies'!P79)</f>
        <v>Create station standards for bike facilities</v>
      </c>
      <c r="M57" s="683"/>
      <c r="N57" s="39"/>
      <c r="O57" s="39"/>
      <c r="P57" s="39"/>
      <c r="Q57" s="39"/>
      <c r="R57" s="39"/>
      <c r="S57" s="39"/>
      <c r="T57" s="39"/>
      <c r="U57" s="39"/>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row>
    <row r="58" spans="1:53" ht="45.95" customHeight="1" x14ac:dyDescent="0.25">
      <c r="A58" s="681" t="str">
        <f ca="1">IF('Support Strategies'!P16="","",'Support Strategies'!P16)</f>
        <v/>
      </c>
      <c r="B58" s="682"/>
      <c r="C58" s="682" t="str">
        <f ca="1">IF('Support Strategies'!P32="","",'Support Strategies'!P32)</f>
        <v/>
      </c>
      <c r="D58" s="682"/>
      <c r="E58" s="682" t="str">
        <f>IF('Support Strategies'!P48="","",'Support Strategies'!P48)</f>
        <v/>
      </c>
      <c r="F58" s="682"/>
      <c r="G58" s="682" t="str">
        <f ca="1">IF('Support Strategies'!P60="","",'Support Strategies'!P60)</f>
        <v>Develop a folding bicycle incentive program</v>
      </c>
      <c r="H58" s="682"/>
      <c r="I58" s="682" t="str">
        <f>IF('Support Strategies'!P64="","",'Support Strategies'!P64)</f>
        <v/>
      </c>
      <c r="J58" s="682"/>
      <c r="K58" s="682"/>
      <c r="L58" s="682" t="str">
        <f ca="1">IF('Support Strategies'!P80="","",'Support Strategies'!P80)</f>
        <v>Bikes benefit everyone campaign</v>
      </c>
      <c r="M58" s="683"/>
      <c r="N58" s="39"/>
      <c r="O58" s="39"/>
      <c r="P58" s="39"/>
      <c r="Q58" s="39"/>
      <c r="R58" s="39"/>
      <c r="S58" s="39"/>
      <c r="T58" s="39"/>
      <c r="U58" s="39"/>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row>
    <row r="59" spans="1:53" s="97" customFormat="1" ht="45.95" customHeight="1" x14ac:dyDescent="0.25">
      <c r="A59" s="678" t="str">
        <f ca="1">IF('Support Strategies'!P17="","",'Support Strategies'!P17)</f>
        <v/>
      </c>
      <c r="B59" s="679"/>
      <c r="C59" s="679" t="str">
        <f ca="1">IF('Support Strategies'!P33="","",'Support Strategies'!P33)</f>
        <v/>
      </c>
      <c r="D59" s="679"/>
      <c r="E59" s="679" t="str">
        <f>IF('Support Strategies'!P49="","",'Support Strategies'!P49)</f>
        <v/>
      </c>
      <c r="F59" s="679"/>
      <c r="G59" s="679" t="str">
        <f ca="1">IF('Support Strategies'!P61="","",'Support Strategies'!P61)</f>
        <v/>
      </c>
      <c r="H59" s="679"/>
      <c r="I59" s="679" t="str">
        <f>IF('Support Strategies'!P65="","",'Support Strategies'!P65)</f>
        <v/>
      </c>
      <c r="J59" s="679"/>
      <c r="K59" s="679"/>
      <c r="L59" s="679" t="str">
        <f ca="1">IF('Support Strategies'!P81="","",'Support Strategies'!P81)</f>
        <v/>
      </c>
      <c r="M59" s="680"/>
      <c r="N59" s="39"/>
      <c r="O59" s="39"/>
      <c r="P59" s="39"/>
      <c r="Q59" s="39"/>
      <c r="R59" s="39"/>
      <c r="S59" s="39"/>
      <c r="T59" s="39"/>
      <c r="U59" s="39"/>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row>
    <row r="60" spans="1:53" s="97" customFormat="1" ht="45.95" customHeight="1" x14ac:dyDescent="0.25">
      <c r="A60" s="39"/>
      <c r="B60" s="39"/>
      <c r="C60" s="39"/>
      <c r="D60" s="39"/>
      <c r="E60" s="39"/>
      <c r="F60" s="39"/>
      <c r="G60" s="39"/>
      <c r="H60" s="39"/>
      <c r="I60" s="39"/>
      <c r="J60" s="39"/>
      <c r="K60" s="39"/>
      <c r="L60" s="39"/>
      <c r="M60" s="39"/>
      <c r="N60" s="39"/>
      <c r="O60" s="39"/>
      <c r="P60" s="39"/>
      <c r="Q60" s="39"/>
      <c r="R60" s="39"/>
      <c r="S60" s="39"/>
      <c r="T60" s="39"/>
      <c r="U60" s="39"/>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row>
    <row r="61" spans="1:53" x14ac:dyDescent="0.25">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row>
    <row r="62" spans="1:53" x14ac:dyDescent="0.25">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row>
    <row r="63" spans="1:53" x14ac:dyDescent="0.25">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row>
    <row r="64" spans="1:53" x14ac:dyDescent="0.25">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row>
    <row r="65" spans="1:53" x14ac:dyDescent="0.25">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row>
    <row r="66" spans="1:53" x14ac:dyDescent="0.25">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row>
  </sheetData>
  <sheetProtection password="8CF0" sheet="1" objects="1" scenarios="1" selectLockedCells="1"/>
  <mergeCells count="163">
    <mergeCell ref="E20:G20"/>
    <mergeCell ref="H18:J18"/>
    <mergeCell ref="E6:L6"/>
    <mergeCell ref="E7:L7"/>
    <mergeCell ref="B9:L9"/>
    <mergeCell ref="A3:M4"/>
    <mergeCell ref="A23:B23"/>
    <mergeCell ref="K15:M15"/>
    <mergeCell ref="H15:J15"/>
    <mergeCell ref="H23:J23"/>
    <mergeCell ref="H21:J21"/>
    <mergeCell ref="H22:J22"/>
    <mergeCell ref="K16:M16"/>
    <mergeCell ref="K17:M17"/>
    <mergeCell ref="K18:M18"/>
    <mergeCell ref="K19:M19"/>
    <mergeCell ref="K20:M20"/>
    <mergeCell ref="K21:M21"/>
    <mergeCell ref="K22:M22"/>
    <mergeCell ref="E18:G18"/>
    <mergeCell ref="E19:G19"/>
    <mergeCell ref="E21:G21"/>
    <mergeCell ref="B6:D6"/>
    <mergeCell ref="H19:J19"/>
    <mergeCell ref="H20:J20"/>
    <mergeCell ref="A42:B42"/>
    <mergeCell ref="E40:H40"/>
    <mergeCell ref="A1:M2"/>
    <mergeCell ref="E16:G16"/>
    <mergeCell ref="H16:J16"/>
    <mergeCell ref="A16:B16"/>
    <mergeCell ref="A11:M11"/>
    <mergeCell ref="B7:D7"/>
    <mergeCell ref="C39:D39"/>
    <mergeCell ref="K23:M23"/>
    <mergeCell ref="E15:G15"/>
    <mergeCell ref="E23:G23"/>
    <mergeCell ref="E17:G17"/>
    <mergeCell ref="A20:B20"/>
    <mergeCell ref="A21:B21"/>
    <mergeCell ref="A22:B22"/>
    <mergeCell ref="A15:B15"/>
    <mergeCell ref="B32:D32"/>
    <mergeCell ref="B33:D33"/>
    <mergeCell ref="E22:G22"/>
    <mergeCell ref="A17:B17"/>
    <mergeCell ref="H17:J17"/>
    <mergeCell ref="A18:B18"/>
    <mergeCell ref="A19:B19"/>
    <mergeCell ref="J29:K29"/>
    <mergeCell ref="E31:L31"/>
    <mergeCell ref="A43:B43"/>
    <mergeCell ref="A44:B44"/>
    <mergeCell ref="A45:B45"/>
    <mergeCell ref="C25:D25"/>
    <mergeCell ref="B34:D34"/>
    <mergeCell ref="C43:D43"/>
    <mergeCell ref="C44:D44"/>
    <mergeCell ref="C40:D40"/>
    <mergeCell ref="C41:D41"/>
    <mergeCell ref="C42:D42"/>
    <mergeCell ref="B28:D28"/>
    <mergeCell ref="A36:M36"/>
    <mergeCell ref="E27:G27"/>
    <mergeCell ref="H27:I27"/>
    <mergeCell ref="E28:G28"/>
    <mergeCell ref="E29:G29"/>
    <mergeCell ref="H28:I28"/>
    <mergeCell ref="H29:I29"/>
    <mergeCell ref="B29:D29"/>
    <mergeCell ref="A39:B39"/>
    <mergeCell ref="A40:B40"/>
    <mergeCell ref="A41:B41"/>
    <mergeCell ref="H24:J24"/>
    <mergeCell ref="E25:G25"/>
    <mergeCell ref="H25:J25"/>
    <mergeCell ref="E24:G24"/>
    <mergeCell ref="L43:M43"/>
    <mergeCell ref="L44:M44"/>
    <mergeCell ref="I40:K40"/>
    <mergeCell ref="I41:K41"/>
    <mergeCell ref="I42:K42"/>
    <mergeCell ref="I43:K43"/>
    <mergeCell ref="I44:K44"/>
    <mergeCell ref="L40:M40"/>
    <mergeCell ref="L41:M41"/>
    <mergeCell ref="L42:M42"/>
    <mergeCell ref="E41:H41"/>
    <mergeCell ref="E42:H42"/>
    <mergeCell ref="E32:L32"/>
    <mergeCell ref="E33:L33"/>
    <mergeCell ref="E34:L34"/>
    <mergeCell ref="L39:M39"/>
    <mergeCell ref="I39:K39"/>
    <mergeCell ref="E39:H39"/>
    <mergeCell ref="J27:K27"/>
    <mergeCell ref="J28:K28"/>
    <mergeCell ref="C24:D24"/>
    <mergeCell ref="B31:D31"/>
    <mergeCell ref="A51:B51"/>
    <mergeCell ref="C51:D51"/>
    <mergeCell ref="E51:H51"/>
    <mergeCell ref="I51:K51"/>
    <mergeCell ref="L51:M51"/>
    <mergeCell ref="L45:M45"/>
    <mergeCell ref="L46:M46"/>
    <mergeCell ref="L47:M47"/>
    <mergeCell ref="C45:D45"/>
    <mergeCell ref="C46:D46"/>
    <mergeCell ref="I47:K47"/>
    <mergeCell ref="E47:H47"/>
    <mergeCell ref="I45:K45"/>
    <mergeCell ref="I46:K46"/>
    <mergeCell ref="A48:M48"/>
    <mergeCell ref="C47:D47"/>
    <mergeCell ref="A46:B46"/>
    <mergeCell ref="A47:B47"/>
    <mergeCell ref="E46:H46"/>
    <mergeCell ref="E43:H43"/>
    <mergeCell ref="E44:H44"/>
    <mergeCell ref="E55:H55"/>
    <mergeCell ref="I55:K55"/>
    <mergeCell ref="L55:M55"/>
    <mergeCell ref="A54:B54"/>
    <mergeCell ref="C54:D54"/>
    <mergeCell ref="E54:H54"/>
    <mergeCell ref="I54:K54"/>
    <mergeCell ref="L54:M54"/>
    <mergeCell ref="E45:H45"/>
    <mergeCell ref="A53:B53"/>
    <mergeCell ref="C53:D53"/>
    <mergeCell ref="E53:H53"/>
    <mergeCell ref="I53:K53"/>
    <mergeCell ref="L53:M53"/>
    <mergeCell ref="A52:B52"/>
    <mergeCell ref="C52:D52"/>
    <mergeCell ref="E52:H52"/>
    <mergeCell ref="I52:K52"/>
    <mergeCell ref="L52:M52"/>
    <mergeCell ref="B8:D8"/>
    <mergeCell ref="E8:L8"/>
    <mergeCell ref="A59:B59"/>
    <mergeCell ref="C59:D59"/>
    <mergeCell ref="E59:H59"/>
    <mergeCell ref="I59:K59"/>
    <mergeCell ref="L59:M59"/>
    <mergeCell ref="A58:B58"/>
    <mergeCell ref="C58:D58"/>
    <mergeCell ref="E58:H58"/>
    <mergeCell ref="I58:K58"/>
    <mergeCell ref="L58:M58"/>
    <mergeCell ref="A57:B57"/>
    <mergeCell ref="C57:D57"/>
    <mergeCell ref="E57:H57"/>
    <mergeCell ref="I57:K57"/>
    <mergeCell ref="L57:M57"/>
    <mergeCell ref="A56:B56"/>
    <mergeCell ref="C56:D56"/>
    <mergeCell ref="E56:H56"/>
    <mergeCell ref="I56:K56"/>
    <mergeCell ref="L56:M56"/>
    <mergeCell ref="A55:B55"/>
    <mergeCell ref="C55:D55"/>
  </mergeCells>
  <conditionalFormatting sqref="E16:E23">
    <cfRule type="expression" dxfId="31" priority="49">
      <formula>IF($E$23&gt;#REF!,TRUE,FALSE)</formula>
    </cfRule>
  </conditionalFormatting>
  <conditionalFormatting sqref="H16:H23">
    <cfRule type="expression" dxfId="30" priority="48">
      <formula>IF($H$23&gt;#REF!,TRUE,FALSE)</formula>
    </cfRule>
  </conditionalFormatting>
  <conditionalFormatting sqref="A40:A47 B40:B41 A41:B46">
    <cfRule type="expression" dxfId="29" priority="33">
      <formula>IF($A40&lt;&gt;"",TRUE,FALSE)</formula>
    </cfRule>
  </conditionalFormatting>
  <conditionalFormatting sqref="C40:D47">
    <cfRule type="expression" dxfId="28" priority="31">
      <formula>IF($C40&lt;&gt;"",TRUE,FALSE)</formula>
    </cfRule>
  </conditionalFormatting>
  <conditionalFormatting sqref="E40:G47">
    <cfRule type="expression" dxfId="27" priority="29">
      <formula>IF($E40&lt;&gt;"",TRUE,FALSE)</formula>
    </cfRule>
  </conditionalFormatting>
  <conditionalFormatting sqref="E40:H47">
    <cfRule type="expression" dxfId="26" priority="28">
      <formula>IF($E40&lt;&gt;"",TRUE,FALSE)</formula>
    </cfRule>
  </conditionalFormatting>
  <conditionalFormatting sqref="I40:K40">
    <cfRule type="expression" dxfId="25" priority="21" stopIfTrue="1">
      <formula>IF($I40="None Selected",TRUE,FALSE)</formula>
    </cfRule>
  </conditionalFormatting>
  <conditionalFormatting sqref="L40:M47">
    <cfRule type="expression" dxfId="24" priority="25">
      <formula>IF($L40&lt;&gt;"",TRUE,FALSE)</formula>
    </cfRule>
  </conditionalFormatting>
  <conditionalFormatting sqref="A40:B40">
    <cfRule type="expression" dxfId="23" priority="24" stopIfTrue="1">
      <formula>IF($A40="None selected",TRUE,FALSE)</formula>
    </cfRule>
  </conditionalFormatting>
  <conditionalFormatting sqref="C40:D40">
    <cfRule type="expression" dxfId="22" priority="23" stopIfTrue="1">
      <formula>IF($C40="None Selected",TRUE,FALSE)</formula>
    </cfRule>
  </conditionalFormatting>
  <conditionalFormatting sqref="E40:H40">
    <cfRule type="expression" dxfId="21" priority="22" stopIfTrue="1">
      <formula>IF($E40="None Selected",TRUE,FALSE)</formula>
    </cfRule>
  </conditionalFormatting>
  <conditionalFormatting sqref="I40:K47">
    <cfRule type="expression" dxfId="20" priority="26">
      <formula>IF($I40&lt;&gt;"",TRUE,FALSE)</formula>
    </cfRule>
  </conditionalFormatting>
  <conditionalFormatting sqref="L40:M40">
    <cfRule type="expression" dxfId="19" priority="20" stopIfTrue="1">
      <formula>IF($L40="None Selected",TRUE,FALSE)</formula>
    </cfRule>
  </conditionalFormatting>
  <conditionalFormatting sqref="A52:B59">
    <cfRule type="expression" dxfId="18" priority="19">
      <formula>IF($A52&lt;&gt;"",TRUE,FALSE)</formula>
    </cfRule>
  </conditionalFormatting>
  <conditionalFormatting sqref="C52:D59">
    <cfRule type="expression" dxfId="17" priority="18">
      <formula>IF($C52&lt;&gt;"",TRUE,FALSE)</formula>
    </cfRule>
  </conditionalFormatting>
  <conditionalFormatting sqref="E52:G59">
    <cfRule type="expression" dxfId="16" priority="17">
      <formula>IF($E52&lt;&gt;"",TRUE,FALSE)</formula>
    </cfRule>
  </conditionalFormatting>
  <conditionalFormatting sqref="E52:H59">
    <cfRule type="expression" dxfId="15" priority="16">
      <formula>IF($E52&lt;&gt;"",TRUE,FALSE)</formula>
    </cfRule>
  </conditionalFormatting>
  <conditionalFormatting sqref="I52:K52">
    <cfRule type="expression" dxfId="14" priority="10" stopIfTrue="1">
      <formula>IF($I52="None Selected",TRUE,FALSE)</formula>
    </cfRule>
  </conditionalFormatting>
  <conditionalFormatting sqref="L52:M59">
    <cfRule type="expression" dxfId="13" priority="14">
      <formula>IF($L52&lt;&gt;"",TRUE,FALSE)</formula>
    </cfRule>
  </conditionalFormatting>
  <conditionalFormatting sqref="A52:B52">
    <cfRule type="expression" dxfId="12" priority="13" stopIfTrue="1">
      <formula>IF($A52="None selected",TRUE,FALSE)</formula>
    </cfRule>
  </conditionalFormatting>
  <conditionalFormatting sqref="C52:D52">
    <cfRule type="expression" dxfId="11" priority="12" stopIfTrue="1">
      <formula>IF($C52="None Selected",TRUE,FALSE)</formula>
    </cfRule>
  </conditionalFormatting>
  <conditionalFormatting sqref="E52:H52">
    <cfRule type="expression" dxfId="10" priority="11" stopIfTrue="1">
      <formula>IF($E52="None Selected",TRUE,FALSE)</formula>
    </cfRule>
  </conditionalFormatting>
  <conditionalFormatting sqref="I52:K59">
    <cfRule type="expression" dxfId="9" priority="15">
      <formula>IF($I52&lt;&gt;"",TRUE,FALSE)</formula>
    </cfRule>
  </conditionalFormatting>
  <conditionalFormatting sqref="L52:M52">
    <cfRule type="expression" dxfId="8" priority="9" stopIfTrue="1">
      <formula>IF($L52="None Selected",TRUE,FALSE)</formula>
    </cfRule>
  </conditionalFormatting>
  <conditionalFormatting sqref="A41:B41">
    <cfRule type="expression" dxfId="7" priority="8" stopIfTrue="1">
      <formula>IF($A41="None selected",TRUE,FALSE)</formula>
    </cfRule>
  </conditionalFormatting>
  <conditionalFormatting sqref="A42:B42">
    <cfRule type="expression" dxfId="6" priority="7" stopIfTrue="1">
      <formula>IF($A42="None selected",TRUE,FALSE)</formula>
    </cfRule>
  </conditionalFormatting>
  <conditionalFormatting sqref="A43:B43">
    <cfRule type="expression" dxfId="5" priority="6" stopIfTrue="1">
      <formula>IF($A43="None selected",TRUE,FALSE)</formula>
    </cfRule>
  </conditionalFormatting>
  <conditionalFormatting sqref="A44:B44">
    <cfRule type="expression" dxfId="4" priority="5" stopIfTrue="1">
      <formula>IF($A44="None selected",TRUE,FALSE)</formula>
    </cfRule>
  </conditionalFormatting>
  <conditionalFormatting sqref="A45:B45">
    <cfRule type="expression" dxfId="3" priority="4" stopIfTrue="1">
      <formula>IF($A45="None selected",TRUE,FALSE)</formula>
    </cfRule>
  </conditionalFormatting>
  <conditionalFormatting sqref="A46:B46">
    <cfRule type="expression" dxfId="2" priority="3" stopIfTrue="1">
      <formula>IF($A46="None selected",TRUE,FALSE)</formula>
    </cfRule>
  </conditionalFormatting>
  <conditionalFormatting sqref="H16">
    <cfRule type="expression" dxfId="1" priority="2">
      <formula>IF($E$23&gt;#REF!,TRUE,FALSE)</formula>
    </cfRule>
  </conditionalFormatting>
  <conditionalFormatting sqref="H17">
    <cfRule type="expression" dxfId="0" priority="1">
      <formula>IF($E$23&gt;#REF!,TRUE,FALSE)</formula>
    </cfRule>
  </conditionalFormatting>
  <printOptions horizontalCentered="1" verticalCentered="1"/>
  <pageMargins left="0.25" right="0.25" top="0.25" bottom="0.25" header="0" footer="0"/>
  <pageSetup scale="68" fitToHeight="0" orientation="landscape" r:id="rId1"/>
  <rowBreaks count="2" manualBreakCount="2">
    <brk id="35" max="16383" man="1"/>
    <brk id="47" max="16383" man="1"/>
  </rowBreaks>
  <drawing r:id="rId2"/>
  <legacyDrawing r:id="rId3"/>
  <controls>
    <mc:AlternateContent xmlns:mc="http://schemas.openxmlformats.org/markup-compatibility/2006">
      <mc:Choice Requires="x14">
        <control shapeId="18436" r:id="rId4" name="CommandButton2">
          <controlPr locked="0" defaultSize="0" autoLine="0" autoPict="0" r:id="rId5">
            <anchor moveWithCells="1">
              <from>
                <xdr:col>13</xdr:col>
                <xdr:colOff>47625</xdr:colOff>
                <xdr:row>4</xdr:row>
                <xdr:rowOff>180975</xdr:rowOff>
              </from>
              <to>
                <xdr:col>15</xdr:col>
                <xdr:colOff>1000125</xdr:colOff>
                <xdr:row>6</xdr:row>
                <xdr:rowOff>295275</xdr:rowOff>
              </to>
            </anchor>
          </controlPr>
        </control>
      </mc:Choice>
      <mc:Fallback>
        <control shapeId="18436" r:id="rId4" name="CommandButton2"/>
      </mc:Fallback>
    </mc:AlternateContent>
    <mc:AlternateContent xmlns:mc="http://schemas.openxmlformats.org/markup-compatibility/2006">
      <mc:Choice Requires="x14">
        <control shapeId="18435" r:id="rId6" name="CommandButton1">
          <controlPr locked="0" defaultSize="0" autoLine="0" autoPict="0" r:id="rId7">
            <anchor moveWithCells="1">
              <from>
                <xdr:col>13</xdr:col>
                <xdr:colOff>57150</xdr:colOff>
                <xdr:row>0</xdr:row>
                <xdr:rowOff>57150</xdr:rowOff>
              </from>
              <to>
                <xdr:col>15</xdr:col>
                <xdr:colOff>1009650</xdr:colOff>
                <xdr:row>3</xdr:row>
                <xdr:rowOff>171450</xdr:rowOff>
              </to>
            </anchor>
          </controlPr>
        </control>
      </mc:Choice>
      <mc:Fallback>
        <control shapeId="18435" r:id="rId6" name="CommandButton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Z50"/>
  <sheetViews>
    <sheetView workbookViewId="0">
      <selection activeCell="M16" sqref="M16"/>
    </sheetView>
  </sheetViews>
  <sheetFormatPr defaultRowHeight="15" x14ac:dyDescent="0.25"/>
  <cols>
    <col min="1" max="1" width="21.85546875" customWidth="1"/>
    <col min="2" max="2" width="11.5703125" customWidth="1"/>
    <col min="5" max="5" width="22.140625" customWidth="1"/>
    <col min="13" max="13" width="9.140625" style="145"/>
    <col min="18" max="18" width="20.85546875" bestFit="1" customWidth="1"/>
  </cols>
  <sheetData>
    <row r="1" spans="1:26" ht="60.75" thickBot="1" x14ac:dyDescent="0.3">
      <c r="A1" s="50" t="s">
        <v>20</v>
      </c>
      <c r="B1" s="51"/>
      <c r="E1" s="50" t="s">
        <v>20</v>
      </c>
      <c r="F1" s="51" t="s">
        <v>138</v>
      </c>
      <c r="G1" s="77" t="s">
        <v>139</v>
      </c>
      <c r="H1" s="77" t="s">
        <v>140</v>
      </c>
      <c r="I1" s="77" t="s">
        <v>141</v>
      </c>
      <c r="J1" s="77" t="s">
        <v>142</v>
      </c>
      <c r="K1" s="77" t="s">
        <v>143</v>
      </c>
      <c r="L1" s="217" t="s">
        <v>406</v>
      </c>
      <c r="M1" s="217" t="s">
        <v>408</v>
      </c>
      <c r="N1" s="77" t="s">
        <v>407</v>
      </c>
      <c r="S1" s="145" t="s">
        <v>404</v>
      </c>
    </row>
    <row r="2" spans="1:26" ht="16.5" thickTop="1" thickBot="1" x14ac:dyDescent="0.3">
      <c r="A2" s="3" t="s">
        <v>21</v>
      </c>
      <c r="B2" s="4" t="s">
        <v>22</v>
      </c>
      <c r="E2" s="6" t="s">
        <v>26</v>
      </c>
      <c r="F2">
        <f>B5</f>
        <v>1.5729E-2</v>
      </c>
      <c r="G2" s="78">
        <f>'Bicycle Parking Invest. Input'!D33</f>
        <v>6139</v>
      </c>
      <c r="H2">
        <f>G2*F2</f>
        <v>96.560331000000005</v>
      </c>
      <c r="I2">
        <v>0</v>
      </c>
      <c r="J2">
        <v>0</v>
      </c>
      <c r="K2">
        <v>0</v>
      </c>
      <c r="L2">
        <f>K2*F2</f>
        <v>0</v>
      </c>
      <c r="M2" s="145">
        <f>L2</f>
        <v>0</v>
      </c>
      <c r="N2">
        <f>IF($M$12+$H$12&gt;$S$18,(M2/$M$12)*($S$18-$H$12),M2)</f>
        <v>0</v>
      </c>
      <c r="W2" s="145"/>
    </row>
    <row r="3" spans="1:26" ht="25.5" thickTop="1" thickBot="1" x14ac:dyDescent="0.3">
      <c r="A3" s="5" t="s">
        <v>23</v>
      </c>
      <c r="B3" s="4" t="s">
        <v>22</v>
      </c>
      <c r="E3" s="6" t="s">
        <v>27</v>
      </c>
      <c r="F3">
        <f>B6</f>
        <v>-5.8559E-2</v>
      </c>
      <c r="G3" s="78">
        <f>'Bicycle Parking Invest. Input'!D34</f>
        <v>83</v>
      </c>
      <c r="H3">
        <f t="shared" ref="H3:H11" si="0">G3*F3</f>
        <v>-4.8603969999999999</v>
      </c>
      <c r="I3">
        <v>0</v>
      </c>
      <c r="J3">
        <v>0</v>
      </c>
      <c r="K3">
        <v>0</v>
      </c>
      <c r="L3">
        <f>K3*F3</f>
        <v>0</v>
      </c>
      <c r="M3" s="145">
        <f t="shared" ref="M3:M4" si="1">L3</f>
        <v>0</v>
      </c>
      <c r="N3" s="145">
        <f t="shared" ref="N3:N11" si="2">IF($M$12+$H$12&gt;$S$18,(M3/$M$12)*($S$18-$H$12),M3)</f>
        <v>0</v>
      </c>
      <c r="Q3" s="145"/>
      <c r="V3" s="145"/>
      <c r="W3" s="145"/>
    </row>
    <row r="4" spans="1:26" ht="25.5" thickTop="1" thickBot="1" x14ac:dyDescent="0.3">
      <c r="A4" s="3" t="s">
        <v>24</v>
      </c>
      <c r="B4" s="4" t="s">
        <v>25</v>
      </c>
      <c r="E4" s="6" t="s">
        <v>28</v>
      </c>
      <c r="F4">
        <f>B7</f>
        <v>74.462999999999994</v>
      </c>
      <c r="G4" s="79">
        <f>'Bicycle Parking Invest. Input'!D35/100</f>
        <v>0.92</v>
      </c>
      <c r="H4">
        <f t="shared" si="0"/>
        <v>68.505960000000002</v>
      </c>
      <c r="I4" s="79">
        <f>('Bicycle Parking Invest. Input'!D91-'Bicycle Parking Invest. Input'!D35)/100</f>
        <v>0</v>
      </c>
      <c r="J4" s="79">
        <f>I4</f>
        <v>0</v>
      </c>
      <c r="K4" s="79">
        <f>J4</f>
        <v>0</v>
      </c>
      <c r="L4">
        <f>K4*F4</f>
        <v>0</v>
      </c>
      <c r="M4" s="145">
        <f t="shared" si="1"/>
        <v>0</v>
      </c>
      <c r="N4" s="145">
        <f t="shared" si="2"/>
        <v>0</v>
      </c>
      <c r="V4" s="145"/>
      <c r="W4" s="145"/>
    </row>
    <row r="5" spans="1:26" ht="16.5" thickTop="1" thickBot="1" x14ac:dyDescent="0.3">
      <c r="A5" s="6" t="s">
        <v>26</v>
      </c>
      <c r="B5" s="7">
        <v>1.5729E-2</v>
      </c>
      <c r="E5" s="212" t="s">
        <v>332</v>
      </c>
      <c r="F5" s="93">
        <v>2</v>
      </c>
      <c r="G5" s="78">
        <f>'Bicycle Parking Invest. Input'!D41</f>
        <v>0</v>
      </c>
      <c r="H5">
        <f t="shared" si="0"/>
        <v>0</v>
      </c>
      <c r="I5" s="216">
        <f>'Bicycle Parking Invest. Input'!E89</f>
        <v>0</v>
      </c>
      <c r="J5" s="78">
        <f>IF(($I$5+$I$6+$I$11)&gt;$P$5,$P$5*(I5/($I$5+$I$6+$I$11)),I5)</f>
        <v>0</v>
      </c>
      <c r="K5" s="78">
        <f t="shared" ref="K5:K11" si="3">IF(J5&gt;O5,O5,J5)</f>
        <v>0</v>
      </c>
      <c r="L5">
        <f t="shared" ref="L5:L11" si="4">IF(K5&gt;((S5-G5)/4),((S5-G5)/4)*$F5*1,K5*$F5*1)+IF(K5&gt;((S5-G5)/2),((S5-G5)/4)*$F5*0.75,MAX(0,(K5-((S5-G5)/4))*$F5*0.75))+IF(K5&gt;((S5-G5)/(4/3)),((S5-G5)/4)*$F5*0.5,MAX(0,(K5-((S5-G5)/2))*$F5*0.5))+MAX(0,(K5-((S5-G5)/(4/3)))*$F5*0.25)</f>
        <v>0</v>
      </c>
      <c r="M5" s="145">
        <f>IF(VLOOKUP($E5,'Bicycle Parking Invest. Input'!$B$66:$U$71,20,FALSE)="down",0,L5)</f>
        <v>0</v>
      </c>
      <c r="N5" s="145">
        <f t="shared" si="2"/>
        <v>0</v>
      </c>
      <c r="O5">
        <f>'Bicycle Parking Invest. Input'!K89</f>
        <v>300</v>
      </c>
      <c r="P5" s="145">
        <f>'Bicycle Parking Invest. Input'!L89</f>
        <v>400</v>
      </c>
      <c r="S5" s="93">
        <f>'Bicycle Parking Invest. Input'!K89</f>
        <v>300</v>
      </c>
      <c r="T5">
        <f>'Bicycle Parking Invest. Input'!L89</f>
        <v>400</v>
      </c>
      <c r="V5" s="145"/>
      <c r="W5" s="145"/>
    </row>
    <row r="6" spans="1:26" ht="24.75" thickBot="1" x14ac:dyDescent="0.3">
      <c r="A6" s="6" t="s">
        <v>27</v>
      </c>
      <c r="B6" s="7">
        <v>-5.8559E-2</v>
      </c>
      <c r="E6" s="212" t="s">
        <v>238</v>
      </c>
      <c r="F6">
        <v>2.4</v>
      </c>
      <c r="G6" s="78">
        <f>'Bicycle Parking Invest. Input'!D42</f>
        <v>0</v>
      </c>
      <c r="H6">
        <f t="shared" si="0"/>
        <v>0</v>
      </c>
      <c r="I6" s="78">
        <f>'Bicycle Parking Invest. Input'!E90</f>
        <v>150</v>
      </c>
      <c r="J6" s="78">
        <f>IF(($I$5+$I$6+$I$11)&gt;$P$5,$P$5*(I6/($I$5+$I$6+$I$11)),I6)</f>
        <v>150</v>
      </c>
      <c r="K6" s="78">
        <f t="shared" si="3"/>
        <v>150</v>
      </c>
      <c r="L6">
        <f t="shared" si="4"/>
        <v>315</v>
      </c>
      <c r="M6" s="145">
        <f>IF(VLOOKUP($E6,'Bicycle Parking Invest. Input'!$B$66:$U$71,20,FALSE)="down",0,L6)</f>
        <v>315</v>
      </c>
      <c r="N6" s="145">
        <f t="shared" si="2"/>
        <v>315</v>
      </c>
      <c r="O6">
        <f>'Bicycle Parking Invest. Input'!K90</f>
        <v>300</v>
      </c>
      <c r="S6">
        <f>'Bicycle Parking Invest. Input'!K90</f>
        <v>300</v>
      </c>
      <c r="V6" s="145"/>
      <c r="W6" s="145"/>
    </row>
    <row r="7" spans="1:26" ht="29.25" thickBot="1" x14ac:dyDescent="0.3">
      <c r="A7" s="6" t="s">
        <v>28</v>
      </c>
      <c r="B7" s="7">
        <v>74.462999999999994</v>
      </c>
      <c r="E7" s="212" t="s">
        <v>44</v>
      </c>
      <c r="F7">
        <v>1.3</v>
      </c>
      <c r="G7" s="78">
        <f>'Bicycle Parking Invest. Input'!D38</f>
        <v>0</v>
      </c>
      <c r="H7">
        <f t="shared" si="0"/>
        <v>0</v>
      </c>
      <c r="I7" s="78">
        <f>'Bicycle Parking Invest. Input'!E82</f>
        <v>60</v>
      </c>
      <c r="J7" s="78">
        <f>IF(($I$7+$I$8)&gt;$P$7,$P$7*(I7/($I$7+$I$8)),I7)</f>
        <v>60</v>
      </c>
      <c r="K7" s="78">
        <f t="shared" si="3"/>
        <v>60</v>
      </c>
      <c r="L7">
        <f t="shared" si="4"/>
        <v>63.375</v>
      </c>
      <c r="M7" s="145">
        <f>IF(VLOOKUP($E7,'Bicycle Parking Invest. Input'!$B$66:$U$71,20,FALSE)="down",0,L7)</f>
        <v>63.375</v>
      </c>
      <c r="N7" s="145">
        <f t="shared" si="2"/>
        <v>63.375</v>
      </c>
      <c r="O7">
        <f>'Bicycle Parking Invest. Input'!K82</f>
        <v>100</v>
      </c>
      <c r="P7" s="145">
        <f>'Bicycle Parking Invest. Input'!L77</f>
        <v>275</v>
      </c>
      <c r="S7">
        <f>'Bicycle Parking Invest. Input'!K82</f>
        <v>100</v>
      </c>
      <c r="T7">
        <f>'Bicycle Parking Invest. Input'!L77</f>
        <v>275</v>
      </c>
      <c r="V7" s="145"/>
      <c r="W7" s="145"/>
    </row>
    <row r="8" spans="1:26" ht="29.25" thickBot="1" x14ac:dyDescent="0.3">
      <c r="A8" s="6" t="s">
        <v>29</v>
      </c>
      <c r="B8" s="7">
        <v>1.8131900000000001</v>
      </c>
      <c r="E8" s="212" t="s">
        <v>43</v>
      </c>
      <c r="F8">
        <v>1.1000000000000001</v>
      </c>
      <c r="G8" s="78">
        <f>'Bicycle Parking Invest. Input'!D37</f>
        <v>21</v>
      </c>
      <c r="H8">
        <f t="shared" si="0"/>
        <v>23.1</v>
      </c>
      <c r="I8" s="78">
        <f>'Bicycle Parking Invest. Input'!E77</f>
        <v>0</v>
      </c>
      <c r="J8" s="78">
        <f>IF(($I$7+$I$8)&gt;$P$7,$P$7*(I8/($I$7+$I$8)),I8)</f>
        <v>0</v>
      </c>
      <c r="K8" s="78">
        <f t="shared" si="3"/>
        <v>0</v>
      </c>
      <c r="L8">
        <f t="shared" si="4"/>
        <v>0</v>
      </c>
      <c r="M8" s="145">
        <f>IF(VLOOKUP($E8,'Bicycle Parking Invest. Input'!$B$66:$U$71,20,FALSE)="down",0,L8)</f>
        <v>0</v>
      </c>
      <c r="N8" s="145">
        <f t="shared" si="2"/>
        <v>0</v>
      </c>
      <c r="O8">
        <f>'Bicycle Parking Invest. Input'!K77</f>
        <v>250</v>
      </c>
      <c r="S8">
        <f>'Bicycle Parking Invest. Input'!K77</f>
        <v>250</v>
      </c>
    </row>
    <row r="9" spans="1:26" ht="24.75" thickBot="1" x14ac:dyDescent="0.3">
      <c r="A9" s="6" t="s">
        <v>30</v>
      </c>
      <c r="B9" s="7">
        <v>1.9146000000000001</v>
      </c>
      <c r="E9" s="212" t="s">
        <v>3</v>
      </c>
      <c r="F9">
        <v>1</v>
      </c>
      <c r="G9" s="78">
        <f>'Bicycle Parking Invest. Input'!D39</f>
        <v>0</v>
      </c>
      <c r="H9">
        <f t="shared" si="0"/>
        <v>0</v>
      </c>
      <c r="I9" s="1">
        <f>'Bicycle Parking Invest. Input'!E87</f>
        <v>0</v>
      </c>
      <c r="J9" s="78">
        <f>IF(($I$9+$I$10)&gt;$P$9,$P$9*(I9/($I$9+$I$10)),I9)</f>
        <v>0</v>
      </c>
      <c r="K9" s="78">
        <f t="shared" si="3"/>
        <v>0</v>
      </c>
      <c r="L9">
        <f t="shared" si="4"/>
        <v>0</v>
      </c>
      <c r="M9" s="145">
        <f>IF(VLOOKUP($E9,'Bicycle Parking Invest. Input'!$B$66:$U$71,20,FALSE)="down",0,L9)</f>
        <v>0</v>
      </c>
      <c r="N9" s="145">
        <f t="shared" si="2"/>
        <v>0</v>
      </c>
      <c r="O9">
        <f>'Bicycle Parking Invest. Input'!K87</f>
        <v>40</v>
      </c>
      <c r="P9" s="145">
        <f>'Bicycle Parking Invest. Input'!L87</f>
        <v>100</v>
      </c>
      <c r="S9">
        <f>'Bicycle Parking Invest. Input'!K87</f>
        <v>40</v>
      </c>
      <c r="T9">
        <f>'Bicycle Parking Invest. Input'!L87</f>
        <v>100</v>
      </c>
    </row>
    <row r="10" spans="1:26" ht="15.75" thickBot="1" x14ac:dyDescent="0.3">
      <c r="A10" s="6" t="s">
        <v>31</v>
      </c>
      <c r="B10" s="7">
        <v>1.19245</v>
      </c>
      <c r="E10" s="212" t="s">
        <v>4</v>
      </c>
      <c r="F10">
        <v>1.3</v>
      </c>
      <c r="G10" s="78">
        <f>'Bicycle Parking Invest. Input'!D40</f>
        <v>32</v>
      </c>
      <c r="H10">
        <f t="shared" si="0"/>
        <v>41.6</v>
      </c>
      <c r="I10" s="78">
        <f>'Bicycle Parking Invest. Input'!E88</f>
        <v>60</v>
      </c>
      <c r="J10" s="78">
        <f>IF(($I$9+$I$10)&gt;$P$9,$P$9*(I10/($I$9+$I$10)),I10)</f>
        <v>60</v>
      </c>
      <c r="K10" s="78">
        <f t="shared" si="3"/>
        <v>60</v>
      </c>
      <c r="L10">
        <f t="shared" si="4"/>
        <v>52.650000000000006</v>
      </c>
      <c r="M10" s="145">
        <f>IF(VLOOKUP($E10,'Bicycle Parking Invest. Input'!$B$66:$U$71,20,FALSE)="down",0,L10)</f>
        <v>52.650000000000006</v>
      </c>
      <c r="N10" s="145">
        <f t="shared" si="2"/>
        <v>52.650000000000006</v>
      </c>
      <c r="O10">
        <f>'Bicycle Parking Invest. Input'!K88</f>
        <v>100</v>
      </c>
      <c r="S10">
        <f>'Bicycle Parking Invest. Input'!K88</f>
        <v>100</v>
      </c>
    </row>
    <row r="11" spans="1:26" ht="15.75" thickBot="1" x14ac:dyDescent="0.3">
      <c r="A11" s="6" t="s">
        <v>32</v>
      </c>
      <c r="B11" s="7">
        <v>1.3336399999999999</v>
      </c>
      <c r="E11" s="76" t="s">
        <v>38</v>
      </c>
      <c r="F11">
        <v>2</v>
      </c>
      <c r="G11" s="78">
        <v>0</v>
      </c>
      <c r="H11">
        <f t="shared" si="0"/>
        <v>0</v>
      </c>
      <c r="I11" s="78">
        <f>'Bicycle Parking Invest. Input'!E92</f>
        <v>0</v>
      </c>
      <c r="J11" s="78">
        <f>IF(($I$5+$I$6+$I$11)&gt;$P$5,$P$5*(I11/($I$5+$I$6+$I$11)),I11)</f>
        <v>0</v>
      </c>
      <c r="K11" s="78">
        <f t="shared" si="3"/>
        <v>0</v>
      </c>
      <c r="L11">
        <f t="shared" si="4"/>
        <v>0</v>
      </c>
      <c r="M11" s="145">
        <f>IF(VLOOKUP($E5,'Bicycle Parking Invest. Input'!$B$66:$U$71,20,FALSE)="down",0,L11)</f>
        <v>0</v>
      </c>
      <c r="N11" s="145">
        <f t="shared" si="2"/>
        <v>0</v>
      </c>
      <c r="O11" s="145">
        <f>'Bicycle Parking Invest. Input'!K92</f>
        <v>160</v>
      </c>
      <c r="S11">
        <f>'Bicycle Parking Invest. Input'!K92</f>
        <v>160</v>
      </c>
    </row>
    <row r="12" spans="1:26" ht="15.75" thickBot="1" x14ac:dyDescent="0.3">
      <c r="A12" s="52" t="s">
        <v>33</v>
      </c>
      <c r="B12" s="53"/>
      <c r="H12">
        <f>SUM(H2:H11)</f>
        <v>224.90589399999999</v>
      </c>
      <c r="L12">
        <f>SUM(L2:L11)</f>
        <v>431.02499999999998</v>
      </c>
      <c r="M12" s="145">
        <f>SUM(M2:M11)</f>
        <v>431.02499999999998</v>
      </c>
      <c r="N12">
        <f>SUM(N2:N11)</f>
        <v>431.02499999999998</v>
      </c>
    </row>
    <row r="13" spans="1:26" ht="15.75" thickTop="1" x14ac:dyDescent="0.25"/>
    <row r="14" spans="1:26" ht="15.75" thickBot="1" x14ac:dyDescent="0.3">
      <c r="A14" s="50" t="s">
        <v>144</v>
      </c>
      <c r="B14" s="51"/>
      <c r="G14" s="145" t="s">
        <v>456</v>
      </c>
      <c r="I14" s="318">
        <v>0.85</v>
      </c>
      <c r="P14" s="145"/>
      <c r="Q14" s="145"/>
      <c r="R14" s="145"/>
      <c r="S14" s="145"/>
      <c r="T14" s="145"/>
      <c r="U14" s="145"/>
      <c r="V14" s="145"/>
      <c r="W14" s="145"/>
      <c r="X14" s="145"/>
      <c r="Y14" s="145"/>
      <c r="Z14" s="145"/>
    </row>
    <row r="15" spans="1:26" ht="16.5" thickTop="1" thickBot="1" x14ac:dyDescent="0.3">
      <c r="A15" s="3" t="s">
        <v>21</v>
      </c>
      <c r="B15" s="4" t="s">
        <v>22</v>
      </c>
      <c r="P15" s="145"/>
      <c r="Q15" s="145"/>
      <c r="R15" s="145"/>
      <c r="S15" s="145"/>
      <c r="T15" s="145"/>
      <c r="U15" s="145"/>
      <c r="V15" s="145"/>
      <c r="W15" s="145"/>
      <c r="X15" s="145"/>
      <c r="Y15" s="145"/>
      <c r="Z15" s="145"/>
    </row>
    <row r="16" spans="1:26" ht="16.5" customHeight="1" thickTop="1" thickBot="1" x14ac:dyDescent="0.3">
      <c r="A16" s="5" t="s">
        <v>39</v>
      </c>
      <c r="B16" s="4" t="s">
        <v>22</v>
      </c>
      <c r="P16" s="145"/>
      <c r="Q16" s="145"/>
      <c r="R16" s="145"/>
      <c r="T16" s="145"/>
      <c r="U16" s="145"/>
      <c r="V16" s="145"/>
      <c r="W16" s="145"/>
      <c r="X16" s="145"/>
      <c r="Y16" s="145"/>
      <c r="Z16" s="145"/>
    </row>
    <row r="17" spans="1:26" ht="61.5" thickTop="1" thickBot="1" x14ac:dyDescent="0.3">
      <c r="A17" s="3" t="s">
        <v>24</v>
      </c>
      <c r="B17" s="4" t="s">
        <v>25</v>
      </c>
      <c r="G17" s="77" t="s">
        <v>139</v>
      </c>
      <c r="H17" s="77" t="s">
        <v>140</v>
      </c>
      <c r="I17" s="77" t="s">
        <v>141</v>
      </c>
      <c r="J17" s="77" t="s">
        <v>142</v>
      </c>
      <c r="K17" s="77" t="s">
        <v>143</v>
      </c>
      <c r="L17" s="217" t="s">
        <v>406</v>
      </c>
      <c r="M17" s="217" t="s">
        <v>408</v>
      </c>
      <c r="N17" s="77" t="s">
        <v>407</v>
      </c>
      <c r="P17" s="145"/>
      <c r="Q17" s="145"/>
      <c r="R17" s="145" t="s">
        <v>284</v>
      </c>
      <c r="S17" s="145">
        <f>'Bicycle Parking Invest. Summary'!AF78</f>
        <v>0.14254704745083363</v>
      </c>
      <c r="T17" s="145"/>
      <c r="U17" s="145"/>
      <c r="V17" s="145"/>
      <c r="W17" s="145"/>
      <c r="X17" s="145"/>
      <c r="Y17" s="145"/>
      <c r="Z17" s="145"/>
    </row>
    <row r="18" spans="1:26" ht="25.5" thickTop="1" thickBot="1" x14ac:dyDescent="0.3">
      <c r="A18" s="6" t="s">
        <v>28</v>
      </c>
      <c r="B18" s="7">
        <v>-3.1379999999999999</v>
      </c>
      <c r="E18" s="6" t="s">
        <v>28</v>
      </c>
      <c r="F18">
        <f>B18</f>
        <v>-3.1379999999999999</v>
      </c>
      <c r="G18" s="79">
        <f>G4</f>
        <v>0.92</v>
      </c>
      <c r="I18" s="79">
        <f>G4+I4</f>
        <v>0.92</v>
      </c>
      <c r="J18" s="79">
        <f>I18</f>
        <v>0.92</v>
      </c>
      <c r="K18" s="79">
        <f>J18</f>
        <v>0.92</v>
      </c>
      <c r="P18" s="145"/>
      <c r="Q18" s="145"/>
      <c r="R18" s="145" t="s">
        <v>405</v>
      </c>
      <c r="S18" s="145">
        <f>'Bicycle Parking Invest. Summary'!AF80</f>
        <v>1060</v>
      </c>
      <c r="T18" s="145"/>
      <c r="U18" s="145"/>
      <c r="V18" s="145"/>
      <c r="W18" s="145"/>
      <c r="X18" s="145"/>
      <c r="Y18" s="145"/>
      <c r="Z18" s="145"/>
    </row>
    <row r="19" spans="1:26" ht="24.75" thickBot="1" x14ac:dyDescent="0.3">
      <c r="A19" s="6" t="s">
        <v>34</v>
      </c>
      <c r="B19" s="7">
        <v>2.1930000000000001E-3</v>
      </c>
      <c r="E19" s="6" t="s">
        <v>34</v>
      </c>
      <c r="F19">
        <f>B19</f>
        <v>2.1930000000000001E-3</v>
      </c>
      <c r="G19" s="78">
        <f>SUM(G5:G11)</f>
        <v>53</v>
      </c>
      <c r="I19" s="78">
        <f>SUM(I5:I11)+$G$19</f>
        <v>323</v>
      </c>
      <c r="J19" s="78">
        <f>SUM(J5:J11)+$G$19</f>
        <v>323</v>
      </c>
      <c r="K19" s="78">
        <f>SUM(K5:K11)+$G$19</f>
        <v>323</v>
      </c>
      <c r="P19" s="145"/>
      <c r="Q19" s="145"/>
      <c r="R19" s="145"/>
      <c r="S19" s="145"/>
      <c r="T19" s="145"/>
      <c r="U19" s="145"/>
      <c r="V19" s="145"/>
      <c r="W19" s="145"/>
      <c r="X19" s="145"/>
      <c r="Y19" s="145"/>
      <c r="Z19" s="145"/>
    </row>
    <row r="20" spans="1:26" ht="15.75" thickBot="1" x14ac:dyDescent="0.3">
      <c r="A20" s="6" t="s">
        <v>35</v>
      </c>
      <c r="B20" s="7">
        <v>0.64700000000000002</v>
      </c>
      <c r="E20" s="6" t="s">
        <v>35</v>
      </c>
      <c r="F20">
        <f>B20</f>
        <v>0.64700000000000002</v>
      </c>
      <c r="G20" s="79">
        <f>'Bicycle Parking Invest. Input'!D43</f>
        <v>0.88</v>
      </c>
      <c r="I20" s="79">
        <f>G20</f>
        <v>0.88</v>
      </c>
      <c r="J20" s="79">
        <f t="shared" ref="J20:K22" si="5">I20</f>
        <v>0.88</v>
      </c>
      <c r="K20" s="79">
        <f t="shared" si="5"/>
        <v>0.88</v>
      </c>
      <c r="P20" s="145"/>
      <c r="Q20" s="145"/>
      <c r="R20" s="145"/>
      <c r="S20" s="145"/>
      <c r="T20" s="145"/>
      <c r="U20" s="145"/>
      <c r="V20" s="145"/>
      <c r="W20" s="145"/>
      <c r="X20" s="145"/>
      <c r="Y20" s="145"/>
      <c r="Z20" s="145"/>
    </row>
    <row r="21" spans="1:26" ht="15.75" thickBot="1" x14ac:dyDescent="0.3">
      <c r="A21" s="6" t="s">
        <v>36</v>
      </c>
      <c r="B21" s="7">
        <v>0.32300000000000001</v>
      </c>
      <c r="E21" s="6" t="s">
        <v>36</v>
      </c>
      <c r="F21">
        <f>B21</f>
        <v>0.32300000000000001</v>
      </c>
      <c r="G21" s="79">
        <f>'Bicycle Parking Invest. Input'!D44</f>
        <v>1.23</v>
      </c>
      <c r="I21" s="79">
        <f>G21</f>
        <v>1.23</v>
      </c>
      <c r="J21" s="79">
        <f t="shared" si="5"/>
        <v>1.23</v>
      </c>
      <c r="K21" s="79">
        <f t="shared" si="5"/>
        <v>1.23</v>
      </c>
      <c r="P21" s="145"/>
      <c r="Q21" s="145"/>
      <c r="R21" s="145"/>
      <c r="S21" s="145"/>
      <c r="T21" s="145"/>
      <c r="U21" s="145"/>
      <c r="V21" s="145"/>
      <c r="W21" s="145"/>
      <c r="X21" s="145"/>
      <c r="Y21" s="145"/>
      <c r="Z21" s="145"/>
    </row>
    <row r="22" spans="1:26" ht="15.75" thickBot="1" x14ac:dyDescent="0.3">
      <c r="A22" s="6" t="s">
        <v>12</v>
      </c>
      <c r="B22" s="7">
        <v>0.192</v>
      </c>
      <c r="E22" s="6" t="s">
        <v>12</v>
      </c>
      <c r="F22">
        <f>B22</f>
        <v>0.192</v>
      </c>
      <c r="G22">
        <f>IF(StationType=1,VLOOKUP('Bicycle Parking Invest. Input'!C12,Database!$A$2:$O$44,15),VLOOKUP('Bicycle Parking Invest. Input'!C13,Database!$A$46:$O$50,15,FALSE))</f>
        <v>2</v>
      </c>
      <c r="I22">
        <f>G22</f>
        <v>2</v>
      </c>
      <c r="J22">
        <f t="shared" si="5"/>
        <v>2</v>
      </c>
      <c r="K22">
        <f t="shared" si="5"/>
        <v>2</v>
      </c>
      <c r="P22" s="145"/>
      <c r="Q22" s="145"/>
      <c r="R22" s="145"/>
      <c r="S22" s="145"/>
      <c r="T22" s="145"/>
      <c r="U22" s="145"/>
      <c r="V22" s="145"/>
      <c r="W22" s="145"/>
      <c r="X22" s="145"/>
      <c r="Y22" s="145"/>
      <c r="Z22" s="145"/>
    </row>
    <row r="23" spans="1:26" ht="15.75" thickBot="1" x14ac:dyDescent="0.3">
      <c r="A23" s="52" t="s">
        <v>33</v>
      </c>
      <c r="B23" s="53"/>
      <c r="H23">
        <f>H12*(EXP(SUMPRODUCT(G18:G22,$F$18:$F$22))/(EXP(SUMPRODUCT(G18:G22,$F$18:$F$22))+1))</f>
        <v>43.777681645705961</v>
      </c>
      <c r="N23">
        <f>(N12+H12)*(EXP(SUMPRODUCT(K18:K22,$F$18:$F$22))/(EXP(SUMPRODUCT(K18:K22,$F$18:$F$22))+1))</f>
        <v>199.45170277938018</v>
      </c>
    </row>
    <row r="24" spans="1:26" ht="15.75" thickTop="1" x14ac:dyDescent="0.25"/>
    <row r="25" spans="1:26" x14ac:dyDescent="0.25">
      <c r="E25" s="81" t="s">
        <v>17</v>
      </c>
      <c r="H25">
        <f>H12-H23</f>
        <v>181.12821235429402</v>
      </c>
      <c r="N25">
        <f>N12+H12-N23</f>
        <v>456.47919122061978</v>
      </c>
    </row>
    <row r="28" spans="1:26" ht="69.75" customHeight="1" x14ac:dyDescent="0.25">
      <c r="A28" t="s">
        <v>162</v>
      </c>
      <c r="B28" t="s">
        <v>19</v>
      </c>
      <c r="C28" s="77"/>
      <c r="D28" s="77" t="s">
        <v>175</v>
      </c>
      <c r="E28" s="77" t="s">
        <v>176</v>
      </c>
    </row>
    <row r="29" spans="1:26" x14ac:dyDescent="0.25">
      <c r="A29" t="s">
        <v>146</v>
      </c>
      <c r="B29" s="78">
        <f>'Bicycle Parking Invest. Input'!D77</f>
        <v>0</v>
      </c>
      <c r="D29" s="88"/>
      <c r="E29" s="98"/>
      <c r="U29" s="145"/>
    </row>
    <row r="30" spans="1:26" s="97" customFormat="1" x14ac:dyDescent="0.25">
      <c r="A30" s="100" t="s">
        <v>198</v>
      </c>
      <c r="B30" s="99">
        <f>'Bicycle Parking Invest. Input'!D78</f>
        <v>0</v>
      </c>
      <c r="D30" s="98">
        <f>B30*'Bicycle Parking Facility Costs'!B15</f>
        <v>0</v>
      </c>
      <c r="E30" s="98">
        <f>B30*'Bicycle Parking Facility Costs'!C15</f>
        <v>0</v>
      </c>
      <c r="M30" s="145"/>
      <c r="U30" s="145"/>
    </row>
    <row r="31" spans="1:26" s="97" customFormat="1" x14ac:dyDescent="0.25">
      <c r="A31" s="100" t="s">
        <v>199</v>
      </c>
      <c r="B31" s="99">
        <f>'Bicycle Parking Invest. Input'!D79</f>
        <v>0</v>
      </c>
      <c r="D31" s="98">
        <f>B31*'Bicycle Parking Facility Costs'!B16</f>
        <v>0</v>
      </c>
      <c r="E31" s="98">
        <f>B31*'Bicycle Parking Facility Costs'!C16</f>
        <v>0</v>
      </c>
      <c r="M31" s="145"/>
      <c r="U31" s="145"/>
    </row>
    <row r="32" spans="1:26" s="97" customFormat="1" x14ac:dyDescent="0.25">
      <c r="A32" s="100" t="s">
        <v>200</v>
      </c>
      <c r="B32" s="99">
        <f>'Bicycle Parking Invest. Input'!D80</f>
        <v>0</v>
      </c>
      <c r="D32" s="98">
        <f>B32*'Bicycle Parking Facility Costs'!B17</f>
        <v>0</v>
      </c>
      <c r="E32" s="98">
        <f>B32*'Bicycle Parking Facility Costs'!C17</f>
        <v>0</v>
      </c>
      <c r="M32" s="145"/>
      <c r="U32" s="145"/>
    </row>
    <row r="33" spans="1:21" s="97" customFormat="1" x14ac:dyDescent="0.25">
      <c r="A33" s="100" t="s">
        <v>201</v>
      </c>
      <c r="B33" s="99">
        <f>'Bicycle Parking Invest. Input'!D81</f>
        <v>0</v>
      </c>
      <c r="D33" s="98">
        <f>B33*'Bicycle Parking Facility Costs'!B18</f>
        <v>0</v>
      </c>
      <c r="E33" s="98">
        <f>B33*'Bicycle Parking Facility Costs'!C18</f>
        <v>0</v>
      </c>
      <c r="M33" s="145"/>
      <c r="U33" s="145"/>
    </row>
    <row r="34" spans="1:21" x14ac:dyDescent="0.25">
      <c r="A34" t="s">
        <v>147</v>
      </c>
      <c r="B34" s="99">
        <f>'Bicycle Parking Invest. Input'!D82</f>
        <v>30</v>
      </c>
      <c r="D34" s="98"/>
      <c r="E34" s="98"/>
      <c r="U34" s="145"/>
    </row>
    <row r="35" spans="1:21" s="97" customFormat="1" x14ac:dyDescent="0.25">
      <c r="A35" s="100" t="s">
        <v>198</v>
      </c>
      <c r="B35" s="99">
        <f>'Bicycle Parking Invest. Input'!D83</f>
        <v>30</v>
      </c>
      <c r="D35" s="98">
        <f>B35*'Bicycle Parking Facility Costs'!B15</f>
        <v>12000</v>
      </c>
      <c r="E35" s="98">
        <f>B35*'Bicycle Parking Facility Costs'!C15</f>
        <v>0</v>
      </c>
      <c r="M35" s="145"/>
    </row>
    <row r="36" spans="1:21" s="97" customFormat="1" x14ac:dyDescent="0.25">
      <c r="A36" s="100" t="s">
        <v>199</v>
      </c>
      <c r="B36" s="99">
        <f>'Bicycle Parking Invest. Input'!D84</f>
        <v>0</v>
      </c>
      <c r="D36" s="98">
        <f>B36*'Bicycle Parking Facility Costs'!B16</f>
        <v>0</v>
      </c>
      <c r="E36" s="98">
        <f>B36*'Bicycle Parking Facility Costs'!C16</f>
        <v>0</v>
      </c>
      <c r="M36" s="145"/>
    </row>
    <row r="37" spans="1:21" s="97" customFormat="1" x14ac:dyDescent="0.25">
      <c r="A37" s="100" t="s">
        <v>200</v>
      </c>
      <c r="B37" s="99">
        <f>'Bicycle Parking Invest. Input'!D85</f>
        <v>0</v>
      </c>
      <c r="D37" s="98">
        <f>B37*'Bicycle Parking Facility Costs'!B17</f>
        <v>0</v>
      </c>
      <c r="E37" s="98">
        <f>B37*'Bicycle Parking Facility Costs'!C17</f>
        <v>0</v>
      </c>
      <c r="M37" s="145"/>
    </row>
    <row r="38" spans="1:21" s="97" customFormat="1" x14ac:dyDescent="0.25">
      <c r="A38" s="100" t="s">
        <v>201</v>
      </c>
      <c r="B38" s="99">
        <f>'Bicycle Parking Invest. Input'!D86</f>
        <v>0</v>
      </c>
      <c r="D38" s="98">
        <f>B38*'Bicycle Parking Facility Costs'!B18</f>
        <v>0</v>
      </c>
      <c r="E38" s="98">
        <f>B38*'Bicycle Parking Facility Costs'!C18</f>
        <v>0</v>
      </c>
      <c r="M38" s="145"/>
    </row>
    <row r="39" spans="1:21" x14ac:dyDescent="0.25">
      <c r="A39" t="s">
        <v>137</v>
      </c>
      <c r="B39" s="99">
        <f>'Bicycle Parking Invest. Input'!D87</f>
        <v>0</v>
      </c>
      <c r="D39" s="88">
        <f>$B39*'Bicycle Parking Facility Costs'!B19</f>
        <v>0</v>
      </c>
      <c r="E39" s="98">
        <f>$B39*'Bicycle Parking Facility Costs'!C19</f>
        <v>0</v>
      </c>
    </row>
    <row r="40" spans="1:21" x14ac:dyDescent="0.25">
      <c r="A40" t="s">
        <v>148</v>
      </c>
      <c r="B40" s="99">
        <f>'Bicycle Parking Invest. Input'!D88</f>
        <v>15</v>
      </c>
      <c r="D40" s="98">
        <f>$B40*'Bicycle Parking Facility Costs'!B20</f>
        <v>157500</v>
      </c>
      <c r="E40" s="98">
        <f>$B40*'Bicycle Parking Facility Costs'!C20</f>
        <v>6000</v>
      </c>
    </row>
    <row r="41" spans="1:21" x14ac:dyDescent="0.25">
      <c r="A41" t="s">
        <v>149</v>
      </c>
      <c r="B41" s="99">
        <f>'Bicycle Parking Invest. Input'!D89</f>
        <v>0</v>
      </c>
      <c r="D41" s="98">
        <f>$B41*'Bicycle Parking Facility Costs'!B21</f>
        <v>0</v>
      </c>
      <c r="E41" s="98">
        <f>$B41*'Bicycle Parking Facility Costs'!C21</f>
        <v>0</v>
      </c>
    </row>
    <row r="42" spans="1:21" x14ac:dyDescent="0.25">
      <c r="A42" t="s">
        <v>150</v>
      </c>
      <c r="B42" s="99">
        <f>'Bicycle Parking Invest. Input'!D90</f>
        <v>1</v>
      </c>
      <c r="D42" s="98">
        <f>$B42*'Bicycle Parking Facility Costs'!B22</f>
        <v>470870.19230769231</v>
      </c>
      <c r="E42" s="98">
        <f>$B42*'Bicycle Parking Facility Costs'!C22</f>
        <v>93600</v>
      </c>
    </row>
    <row r="43" spans="1:21" x14ac:dyDescent="0.25">
      <c r="A43" t="s">
        <v>38</v>
      </c>
      <c r="B43" s="99">
        <f>'Bicycle Parking Invest. Input'!D92</f>
        <v>0</v>
      </c>
      <c r="C43" s="89"/>
      <c r="D43" s="98">
        <f>$B43*'Bicycle Parking Facility Costs'!B23</f>
        <v>0</v>
      </c>
      <c r="E43" s="98">
        <f>$B43*'Bicycle Parking Facility Costs'!C23</f>
        <v>0</v>
      </c>
    </row>
    <row r="44" spans="1:21" x14ac:dyDescent="0.25">
      <c r="D44" s="88">
        <f>ROUND(SUM(D29:D43),-1)</f>
        <v>640370</v>
      </c>
      <c r="E44" s="88">
        <f>ROUND(SUM(E29:E43),-1)</f>
        <v>99600</v>
      </c>
    </row>
    <row r="46" spans="1:21" x14ac:dyDescent="0.25">
      <c r="A46" s="93" t="s">
        <v>165</v>
      </c>
      <c r="B46" s="94" t="s">
        <v>186</v>
      </c>
      <c r="C46" s="91"/>
    </row>
    <row r="47" spans="1:21" x14ac:dyDescent="0.25">
      <c r="A47" s="93" t="s">
        <v>185</v>
      </c>
      <c r="B47" s="92">
        <f>ROUND(('Bicycle Parking Facility Costs'!B9+'Bicycle Parking Facility Costs'!C9)/Calculations!$C$50,-2)</f>
        <v>7700</v>
      </c>
      <c r="C47" s="92"/>
    </row>
    <row r="48" spans="1:21" x14ac:dyDescent="0.25">
      <c r="A48" s="93" t="s">
        <v>166</v>
      </c>
      <c r="B48" s="95">
        <f>ROUND(('Bicycle Parking Facility Costs'!B10+'Bicycle Parking Facility Costs'!C10)/Calculations!$C$50,-2)</f>
        <v>41900</v>
      </c>
      <c r="C48" s="92"/>
    </row>
    <row r="49" spans="1:3" x14ac:dyDescent="0.25">
      <c r="A49" s="91"/>
      <c r="B49" s="91"/>
      <c r="C49" s="91"/>
    </row>
    <row r="50" spans="1:3" x14ac:dyDescent="0.25">
      <c r="A50" s="91" t="s">
        <v>167</v>
      </c>
      <c r="B50" s="91"/>
      <c r="C50" s="91">
        <v>0.85399999999999998</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FFC000"/>
  </sheetPr>
  <dimension ref="A1:BX104"/>
  <sheetViews>
    <sheetView workbookViewId="0">
      <pane xSplit="1" ySplit="1" topLeftCell="BF26" activePane="bottomRight" state="frozen"/>
      <selection activeCell="D51" sqref="D51"/>
      <selection pane="topRight" activeCell="D51" sqref="D51"/>
      <selection pane="bottomLeft" activeCell="D51" sqref="D51"/>
      <selection pane="bottomRight" activeCell="BR53" sqref="BR53"/>
    </sheetView>
  </sheetViews>
  <sheetFormatPr defaultRowHeight="15" x14ac:dyDescent="0.25"/>
  <cols>
    <col min="1" max="1" width="17.85546875" bestFit="1" customWidth="1"/>
    <col min="2" max="4" width="11.7109375" customWidth="1"/>
    <col min="5" max="5" width="11.7109375" style="145" customWidth="1"/>
    <col min="6" max="24" width="11.7109375" customWidth="1"/>
    <col min="39" max="39" width="12.42578125" bestFit="1" customWidth="1"/>
  </cols>
  <sheetData>
    <row r="1" spans="1:76" ht="56.25" x14ac:dyDescent="0.25">
      <c r="B1" s="46" t="s">
        <v>0</v>
      </c>
      <c r="C1" s="46" t="s">
        <v>62</v>
      </c>
      <c r="D1" s="46" t="s">
        <v>37</v>
      </c>
      <c r="E1" s="46"/>
      <c r="F1" s="46" t="s">
        <v>1</v>
      </c>
      <c r="G1" s="46" t="s">
        <v>2</v>
      </c>
      <c r="H1" s="46" t="s">
        <v>3</v>
      </c>
      <c r="I1" s="46" t="s">
        <v>4</v>
      </c>
      <c r="J1" s="46" t="s">
        <v>5</v>
      </c>
      <c r="K1" s="46" t="s">
        <v>6</v>
      </c>
      <c r="L1" s="46" t="s">
        <v>63</v>
      </c>
      <c r="M1" s="46" t="s">
        <v>64</v>
      </c>
      <c r="N1" s="46" t="s">
        <v>41</v>
      </c>
      <c r="O1" s="46" t="s">
        <v>145</v>
      </c>
      <c r="P1" s="46" t="s">
        <v>303</v>
      </c>
      <c r="Q1" s="46" t="s">
        <v>146</v>
      </c>
      <c r="R1" s="46" t="s">
        <v>147</v>
      </c>
      <c r="S1" s="46" t="s">
        <v>137</v>
      </c>
      <c r="T1" s="46" t="s">
        <v>148</v>
      </c>
      <c r="U1" s="46" t="s">
        <v>149</v>
      </c>
      <c r="V1" s="46" t="s">
        <v>150</v>
      </c>
      <c r="W1" s="46"/>
      <c r="X1" s="46"/>
      <c r="Z1" s="48" t="s">
        <v>110</v>
      </c>
      <c r="AA1" s="48" t="s">
        <v>116</v>
      </c>
      <c r="AB1" s="48" t="s">
        <v>111</v>
      </c>
      <c r="AD1" s="48" t="s">
        <v>117</v>
      </c>
      <c r="AE1" s="48" t="s">
        <v>118</v>
      </c>
      <c r="AF1" s="48" t="s">
        <v>119</v>
      </c>
      <c r="AH1" s="48" t="s">
        <v>113</v>
      </c>
      <c r="AI1" s="48" t="s">
        <v>114</v>
      </c>
      <c r="AJ1" s="48" t="s">
        <v>115</v>
      </c>
      <c r="AL1" s="48" t="s">
        <v>213</v>
      </c>
      <c r="AM1" s="48" t="s">
        <v>212</v>
      </c>
      <c r="AN1" s="48" t="s">
        <v>214</v>
      </c>
      <c r="AP1" s="48" t="s">
        <v>284</v>
      </c>
      <c r="AR1" s="48" t="s">
        <v>291</v>
      </c>
      <c r="AS1" s="48" t="s">
        <v>292</v>
      </c>
      <c r="AT1" s="48" t="s">
        <v>293</v>
      </c>
      <c r="AU1" s="48" t="s">
        <v>294</v>
      </c>
      <c r="AV1" s="48" t="s">
        <v>295</v>
      </c>
      <c r="AW1" s="48" t="s">
        <v>296</v>
      </c>
      <c r="AY1" s="48" t="s">
        <v>297</v>
      </c>
      <c r="AZ1" s="48" t="s">
        <v>298</v>
      </c>
      <c r="BA1" s="48" t="s">
        <v>299</v>
      </c>
      <c r="BB1" s="48" t="s">
        <v>300</v>
      </c>
      <c r="BC1" s="48" t="s">
        <v>301</v>
      </c>
      <c r="BD1" s="48" t="s">
        <v>302</v>
      </c>
      <c r="BF1" s="48" t="s">
        <v>391</v>
      </c>
      <c r="BG1" s="48" t="s">
        <v>392</v>
      </c>
      <c r="BH1" s="48" t="s">
        <v>393</v>
      </c>
      <c r="BI1" s="48" t="s">
        <v>394</v>
      </c>
      <c r="BJ1" s="48" t="s">
        <v>395</v>
      </c>
      <c r="BK1" s="48" t="s">
        <v>396</v>
      </c>
      <c r="BL1" s="48"/>
      <c r="BM1" s="48" t="s">
        <v>397</v>
      </c>
      <c r="BN1" s="48" t="s">
        <v>398</v>
      </c>
      <c r="BO1" s="48" t="s">
        <v>399</v>
      </c>
      <c r="BP1" s="48" t="s">
        <v>400</v>
      </c>
      <c r="BQ1" s="48" t="s">
        <v>401</v>
      </c>
      <c r="BR1" s="48" t="s">
        <v>402</v>
      </c>
      <c r="BT1" s="48" t="s">
        <v>412</v>
      </c>
      <c r="BU1" s="48" t="s">
        <v>413</v>
      </c>
    </row>
    <row r="2" spans="1:76" x14ac:dyDescent="0.25">
      <c r="A2" s="45" t="s">
        <v>72</v>
      </c>
      <c r="B2" s="63">
        <f>IF('Bicycle Parking Invest. Input'!$C$8&lt;2020,Database!Z2+('Bicycle Parking Invest. Input'!$C$8-2008)*((Database!AA2-Database!Z2)/12),Database!AA2+('Bicycle Parking Invest. Input'!$C$8-2020)*((Database!AB2-Database!AA2)/10))</f>
        <v>6960.4666666666662</v>
      </c>
      <c r="C2" s="63">
        <f>IF('Bicycle Parking Invest. Input'!$C$8&lt;2020,Database!AD2+('Bicycle Parking Invest. Input'!$C$8-2008)*((Database!AE2-Database!AD2)/12),Database!AE2+('Bicycle Parking Invest. Input'!$C$8-2020)*((Database!AF2-Database!AE2)/10))</f>
        <v>0</v>
      </c>
      <c r="D2" s="47">
        <v>99</v>
      </c>
      <c r="E2" s="47"/>
      <c r="F2" s="49">
        <v>0</v>
      </c>
      <c r="G2" s="49">
        <v>0</v>
      </c>
      <c r="H2" s="49">
        <v>0</v>
      </c>
      <c r="I2" s="49">
        <v>8</v>
      </c>
      <c r="J2" s="49">
        <v>0</v>
      </c>
      <c r="K2" s="49">
        <v>0</v>
      </c>
      <c r="L2" s="47">
        <f>ROUND(0.690909090909091,2)</f>
        <v>0.69</v>
      </c>
      <c r="M2" s="47">
        <f>ROUND(1.11320754716981,2)</f>
        <v>1.1100000000000001</v>
      </c>
      <c r="N2" s="63">
        <f>ROUND(IF('Bicycle Parking Invest. Input'!$C$8&lt;2020,Database!AH2+('Bicycle Parking Invest. Input'!$C$8-2008)*((Database!AI2-Database!AH2)/12),Database!AI2+('Bicycle Parking Invest. Input'!$C$8-2020)*((Database!AJ2-Database!AI2)/10)),-2)</f>
        <v>14100</v>
      </c>
      <c r="O2" s="80">
        <v>1</v>
      </c>
      <c r="P2" s="82"/>
      <c r="Q2" s="180">
        <v>2.8717948717948718</v>
      </c>
      <c r="R2" s="180">
        <v>5</v>
      </c>
      <c r="S2" s="180">
        <v>4</v>
      </c>
      <c r="T2" s="180">
        <v>2.5483870967741935</v>
      </c>
      <c r="U2" s="180">
        <v>3</v>
      </c>
      <c r="V2" s="180">
        <v>1.9473684210526316</v>
      </c>
      <c r="W2" s="82"/>
      <c r="X2" s="82"/>
      <c r="Z2" s="64">
        <v>5815.7</v>
      </c>
      <c r="AA2" s="56">
        <v>9250</v>
      </c>
      <c r="AB2" s="56">
        <v>13460</v>
      </c>
      <c r="AC2" s="57"/>
      <c r="AD2" s="58">
        <v>0</v>
      </c>
      <c r="AE2" s="58">
        <v>0</v>
      </c>
      <c r="AF2" s="58">
        <v>0</v>
      </c>
      <c r="AG2" s="57"/>
      <c r="AH2" s="59">
        <v>13390.599999999989</v>
      </c>
      <c r="AI2" s="59">
        <v>15441.073469400795</v>
      </c>
      <c r="AJ2" s="59">
        <v>17523.337278140327</v>
      </c>
      <c r="AL2" s="106">
        <v>1.2084392860712856E-2</v>
      </c>
      <c r="AM2" s="108">
        <f>MIN((Database!AL2+('Bicycle Parking Invest. Input'!$C$8-2008)*((Database!AN2-Database!AL2)/12))*100,AP2*100)</f>
        <v>1.6112523814283808</v>
      </c>
      <c r="AN2" s="105">
        <f>AL2*2</f>
        <v>2.4168785721425712E-2</v>
      </c>
      <c r="AP2" s="105">
        <f>VLOOKUP(VLOOKUP(O2,$A$52:$B$56,2,FALSE),$A$46:$AP$50,COLUMN(),FALSE)</f>
        <v>8.6724313927912008E-2</v>
      </c>
      <c r="AR2" s="311">
        <v>0.18</v>
      </c>
      <c r="AS2" s="311">
        <v>0</v>
      </c>
      <c r="AT2" s="311">
        <v>7.0000000000000007E-2</v>
      </c>
      <c r="AU2" s="311">
        <v>0.23</v>
      </c>
      <c r="AV2" s="311">
        <v>7.0000000000000007E-2</v>
      </c>
      <c r="AW2" s="311">
        <v>0.44999999999999996</v>
      </c>
      <c r="AY2" s="308">
        <v>0.63</v>
      </c>
      <c r="AZ2" s="308">
        <v>0.1</v>
      </c>
      <c r="BA2" s="308">
        <v>0.25</v>
      </c>
      <c r="BB2" s="308">
        <v>0.6</v>
      </c>
      <c r="BC2" s="308">
        <v>0.6</v>
      </c>
      <c r="BD2" s="308">
        <v>0.81999999999999984</v>
      </c>
      <c r="BF2" s="84" t="s">
        <v>331</v>
      </c>
      <c r="BG2" s="84" t="s">
        <v>331</v>
      </c>
      <c r="BH2" s="84" t="s">
        <v>331</v>
      </c>
      <c r="BI2" s="84">
        <v>0.88</v>
      </c>
      <c r="BJ2" s="84" t="s">
        <v>331</v>
      </c>
      <c r="BK2" s="84" t="s">
        <v>331</v>
      </c>
      <c r="BM2" s="213">
        <v>6</v>
      </c>
      <c r="BN2" s="213">
        <v>3</v>
      </c>
      <c r="BO2" s="209">
        <v>5</v>
      </c>
      <c r="BP2" s="209">
        <v>2</v>
      </c>
      <c r="BQ2" s="209">
        <v>4</v>
      </c>
      <c r="BR2" s="209">
        <v>1</v>
      </c>
      <c r="BT2" s="230">
        <v>2012</v>
      </c>
      <c r="BU2" s="307">
        <f>ROUND(IF(2012&lt;2020,Database!Z2+(2012-2008)*((Database!AA2-Database!Z2)/12),Database!AA2+(2012-2020)*((Database!AB2-Database!AA2)/10)),0)</f>
        <v>6960</v>
      </c>
      <c r="BX2" s="213"/>
    </row>
    <row r="3" spans="1:76" x14ac:dyDescent="0.25">
      <c r="A3" s="45" t="s">
        <v>73</v>
      </c>
      <c r="B3" s="63">
        <f>IF('Bicycle Parking Invest. Input'!$C$8&lt;2020,Database!Z3+('Bicycle Parking Invest. Input'!$C$8-2008)*((Database!AA3-Database!Z3)/12),Database!AA3+('Bicycle Parking Invest. Input'!$C$8-2020)*((Database!AB3-Database!AA3)/10))</f>
        <v>24178.937499999996</v>
      </c>
      <c r="C3" s="63">
        <f>IF('Bicycle Parking Invest. Input'!$C$8&lt;2020,Database!AD3+('Bicycle Parking Invest. Input'!$C$8-2008)*((Database!AE3-Database!AD3)/12),Database!AE3+('Bicycle Parking Invest. Input'!$C$8-2020)*((Database!AF3-Database!AE3)/10))</f>
        <v>0</v>
      </c>
      <c r="D3" s="47">
        <v>88.475836431226767</v>
      </c>
      <c r="E3" s="47"/>
      <c r="F3" s="49">
        <v>0</v>
      </c>
      <c r="G3" s="49">
        <v>77</v>
      </c>
      <c r="H3" s="49">
        <v>0</v>
      </c>
      <c r="I3" s="49">
        <v>0</v>
      </c>
      <c r="J3" s="49">
        <v>0</v>
      </c>
      <c r="K3" s="49">
        <v>0</v>
      </c>
      <c r="L3" s="47">
        <f>ROUND(0.739130434782609,2)</f>
        <v>0.74</v>
      </c>
      <c r="M3" s="47">
        <f>ROUND(1.43382352941176,2)</f>
        <v>1.43</v>
      </c>
      <c r="N3" s="63">
        <f>ROUND(IF('Bicycle Parking Invest. Input'!$C$8&lt;2020,Database!AH3+('Bicycle Parking Invest. Input'!$C$8-2008)*((Database!AI3-Database!AH3)/12),Database!AI3+('Bicycle Parking Invest. Input'!$C$8-2020)*((Database!AJ3-Database!AI3)/10)),-2)</f>
        <v>12000</v>
      </c>
      <c r="O3" s="80">
        <v>1</v>
      </c>
      <c r="P3" s="82"/>
      <c r="Q3" s="180">
        <v>2.6260869565217391</v>
      </c>
      <c r="R3" s="180">
        <v>4.5465116279069768</v>
      </c>
      <c r="S3" s="180">
        <v>3.4814814814814814</v>
      </c>
      <c r="T3" s="180">
        <v>3.3506493506493507</v>
      </c>
      <c r="U3" s="180">
        <v>2.6588235294117646</v>
      </c>
      <c r="V3" s="180">
        <v>1.9509803921568627</v>
      </c>
      <c r="W3" s="82"/>
      <c r="X3" s="82"/>
      <c r="Z3" s="64">
        <v>23580.687499999996</v>
      </c>
      <c r="AA3" s="56">
        <v>25375.4375</v>
      </c>
      <c r="AB3" s="56">
        <v>26871.0625</v>
      </c>
      <c r="AC3" s="57"/>
      <c r="AD3" s="60">
        <v>0</v>
      </c>
      <c r="AE3" s="60">
        <v>0</v>
      </c>
      <c r="AF3" s="60">
        <v>0</v>
      </c>
      <c r="AG3" s="57"/>
      <c r="AH3" s="59">
        <v>11346.799999999988</v>
      </c>
      <c r="AI3" s="59">
        <v>13376.248986044568</v>
      </c>
      <c r="AJ3" s="59">
        <v>14321.28997863222</v>
      </c>
      <c r="AL3" s="106">
        <v>5.672431392791201E-2</v>
      </c>
      <c r="AM3" s="108">
        <f>MIN((Database!AL3+('Bicycle Parking Invest. Input'!$C$8-2008)*((Database!AN3-Database!AL3)/12))*100,AP3*100)</f>
        <v>7.5632418570549351</v>
      </c>
      <c r="AN3" s="105">
        <f t="shared" ref="AN3:AN44" si="0">AL3*2</f>
        <v>0.11344862785582402</v>
      </c>
      <c r="AP3" s="105">
        <f t="shared" ref="AP3:AP44" si="1">VLOOKUP(VLOOKUP(O3,$A$52:$B$56,2,FALSE),$A$46:$AP$50,COLUMN(),FALSE)</f>
        <v>8.6724313927912008E-2</v>
      </c>
      <c r="AR3" s="311">
        <v>0.28000000000000003</v>
      </c>
      <c r="AS3" s="311">
        <v>0.04</v>
      </c>
      <c r="AT3" s="311">
        <v>7.0000000000000007E-2</v>
      </c>
      <c r="AU3" s="311">
        <v>7.0000000000000007E-2</v>
      </c>
      <c r="AV3" s="311">
        <v>0.13</v>
      </c>
      <c r="AW3" s="311">
        <v>0.40999999999999992</v>
      </c>
      <c r="AY3" s="308">
        <v>0.74</v>
      </c>
      <c r="AZ3" s="308">
        <v>0.22</v>
      </c>
      <c r="BA3" s="308">
        <v>0.35</v>
      </c>
      <c r="BB3" s="308">
        <v>0.37</v>
      </c>
      <c r="BC3" s="308">
        <v>0.55000000000000004</v>
      </c>
      <c r="BD3" s="308">
        <v>0.76999999999999957</v>
      </c>
      <c r="BF3" s="84" t="s">
        <v>331</v>
      </c>
      <c r="BG3" s="84">
        <v>0.68</v>
      </c>
      <c r="BH3" s="84" t="s">
        <v>331</v>
      </c>
      <c r="BI3" s="84" t="s">
        <v>331</v>
      </c>
      <c r="BJ3" s="84" t="s">
        <v>331</v>
      </c>
      <c r="BK3" s="84" t="s">
        <v>331</v>
      </c>
      <c r="BM3" s="213">
        <v>6</v>
      </c>
      <c r="BN3" s="213">
        <v>2</v>
      </c>
      <c r="BO3" s="209">
        <v>5</v>
      </c>
      <c r="BP3" s="209">
        <v>4</v>
      </c>
      <c r="BQ3" s="209">
        <v>3</v>
      </c>
      <c r="BR3" s="209">
        <v>1</v>
      </c>
      <c r="BT3" s="230">
        <v>2012</v>
      </c>
      <c r="BU3" s="307">
        <f>ROUND(IF(2012&lt;2020,Database!Z3+(2012-2008)*((Database!AA3-Database!Z3)/12),Database!AA3+(2012-2020)*((Database!AB3-Database!AA3)/10)),0)</f>
        <v>24179</v>
      </c>
      <c r="BX3" s="213"/>
    </row>
    <row r="4" spans="1:76" x14ac:dyDescent="0.25">
      <c r="A4" s="45" t="s">
        <v>74</v>
      </c>
      <c r="B4" s="63">
        <f>IF('Bicycle Parking Invest. Input'!$C$8&lt;2020,Database!Z4+('Bicycle Parking Invest. Input'!$C$8-2008)*((Database!AA4-Database!Z4)/12),Database!AA4+('Bicycle Parking Invest. Input'!$C$8-2020)*((Database!AB4-Database!AA4)/10))</f>
        <v>13441.855555555556</v>
      </c>
      <c r="C4" s="63">
        <f>IF('Bicycle Parking Invest. Input'!$C$8&lt;2020,Database!AD4+('Bicycle Parking Invest. Input'!$C$8-2008)*((Database!AE4-Database!AD4)/12),Database!AE4+('Bicycle Parking Invest. Input'!$C$8-2020)*((Database!AF4-Database!AE4)/10))</f>
        <v>0</v>
      </c>
      <c r="D4" s="47">
        <v>72.747747747747752</v>
      </c>
      <c r="E4" s="47"/>
      <c r="F4" s="49">
        <v>66</v>
      </c>
      <c r="G4" s="49">
        <v>0</v>
      </c>
      <c r="H4" s="49">
        <v>0</v>
      </c>
      <c r="I4" s="49">
        <v>8</v>
      </c>
      <c r="J4" s="49">
        <v>0</v>
      </c>
      <c r="K4" s="49">
        <v>0</v>
      </c>
      <c r="L4" s="47">
        <f>ROUND(0.913907284768212,2)</f>
        <v>0.91</v>
      </c>
      <c r="M4" s="47">
        <f>ROUND(1.49668874172185,2)</f>
        <v>1.5</v>
      </c>
      <c r="N4" s="63">
        <f>ROUND(IF('Bicycle Parking Invest. Input'!$C$8&lt;2020,Database!AH4+('Bicycle Parking Invest. Input'!$C$8-2008)*((Database!AI4-Database!AH4)/12),Database!AI4+('Bicycle Parking Invest. Input'!$C$8-2020)*((Database!AJ4-Database!AI4)/10)),-2)</f>
        <v>10700</v>
      </c>
      <c r="O4" s="80">
        <v>1</v>
      </c>
      <c r="P4" s="82"/>
      <c r="Q4" s="180">
        <v>2.6031746031746033</v>
      </c>
      <c r="R4" s="180">
        <v>4.568807339449541</v>
      </c>
      <c r="S4" s="180">
        <v>4.0606060606060606</v>
      </c>
      <c r="T4" s="180">
        <v>2.7663551401869158</v>
      </c>
      <c r="U4" s="180">
        <v>3.0961538461538463</v>
      </c>
      <c r="V4" s="180">
        <v>2.4406779661016951</v>
      </c>
      <c r="W4" s="82"/>
      <c r="X4" s="82"/>
      <c r="Z4" s="64">
        <v>10906.574999999999</v>
      </c>
      <c r="AA4" s="56">
        <v>18512.416666666668</v>
      </c>
      <c r="AB4" s="56">
        <v>25362.25</v>
      </c>
      <c r="AC4" s="57"/>
      <c r="AD4" s="60">
        <v>0</v>
      </c>
      <c r="AE4" s="60">
        <v>0</v>
      </c>
      <c r="AF4" s="60">
        <v>0</v>
      </c>
      <c r="AG4" s="57"/>
      <c r="AH4" s="59">
        <v>9799.9999999999909</v>
      </c>
      <c r="AI4" s="59">
        <v>12439.219260427313</v>
      </c>
      <c r="AJ4" s="59">
        <v>14775.35552593863</v>
      </c>
      <c r="AL4" s="106">
        <v>2.370105073841949E-2</v>
      </c>
      <c r="AM4" s="108">
        <f>MIN((Database!AL4+('Bicycle Parking Invest. Input'!$C$8-2008)*((Database!AN4-Database!AL4)/12))*100,AP4*100)</f>
        <v>3.1601400984559316</v>
      </c>
      <c r="AN4" s="105">
        <f t="shared" si="0"/>
        <v>4.740210147683898E-2</v>
      </c>
      <c r="AP4" s="105">
        <f t="shared" si="1"/>
        <v>8.6724313927912008E-2</v>
      </c>
      <c r="AR4" s="311">
        <v>0.28000000000000003</v>
      </c>
      <c r="AS4" s="311">
        <v>0.04</v>
      </c>
      <c r="AT4" s="311">
        <v>0.05</v>
      </c>
      <c r="AU4" s="311">
        <v>0.28000000000000003</v>
      </c>
      <c r="AV4" s="311">
        <v>0.09</v>
      </c>
      <c r="AW4" s="311">
        <v>0.26</v>
      </c>
      <c r="AY4" s="308">
        <v>0.72</v>
      </c>
      <c r="AZ4" s="308">
        <v>0.23</v>
      </c>
      <c r="BA4" s="308">
        <v>0.26</v>
      </c>
      <c r="BB4" s="308">
        <v>0.56000000000000005</v>
      </c>
      <c r="BC4" s="308">
        <v>0.54</v>
      </c>
      <c r="BD4" s="308">
        <v>0.69</v>
      </c>
      <c r="BF4" s="84">
        <v>0.62</v>
      </c>
      <c r="BG4" s="84" t="s">
        <v>331</v>
      </c>
      <c r="BH4" s="84" t="s">
        <v>331</v>
      </c>
      <c r="BI4" s="84">
        <v>0.88</v>
      </c>
      <c r="BJ4" s="84" t="s">
        <v>331</v>
      </c>
      <c r="BK4" s="84" t="s">
        <v>331</v>
      </c>
      <c r="BM4" s="213">
        <v>6</v>
      </c>
      <c r="BN4" s="213">
        <v>2</v>
      </c>
      <c r="BO4" s="209">
        <v>5</v>
      </c>
      <c r="BP4" s="209">
        <v>3</v>
      </c>
      <c r="BQ4" s="209">
        <v>4</v>
      </c>
      <c r="BR4" s="209">
        <v>1</v>
      </c>
      <c r="BT4" s="230">
        <v>2012</v>
      </c>
      <c r="BU4" s="307">
        <f>ROUND(IF(2012&lt;2020,Database!Z4+(2012-2008)*((Database!AA4-Database!Z4)/12),Database!AA4+(2012-2020)*((Database!AB4-Database!AA4)/10)),0)</f>
        <v>13442</v>
      </c>
      <c r="BX4" s="213"/>
    </row>
    <row r="5" spans="1:76" x14ac:dyDescent="0.25">
      <c r="A5" s="45" t="s">
        <v>75</v>
      </c>
      <c r="B5" s="63">
        <f>IF('Bicycle Parking Invest. Input'!$C$8&lt;2020,Database!Z5+('Bicycle Parking Invest. Input'!$C$8-2008)*((Database!AA5-Database!Z5)/12),Database!AA5+('Bicycle Parking Invest. Input'!$C$8-2020)*((Database!AB5-Database!AA5)/10))</f>
        <v>25639.962500000005</v>
      </c>
      <c r="C5" s="63">
        <f>IF('Bicycle Parking Invest. Input'!$C$8&lt;2020,Database!AD5+('Bicycle Parking Invest. Input'!$C$8-2008)*((Database!AE5-Database!AD5)/12),Database!AE5+('Bicycle Parking Invest. Input'!$C$8-2020)*((Database!AF5-Database!AE5)/10))</f>
        <v>0</v>
      </c>
      <c r="D5" s="47">
        <v>89.033457249070636</v>
      </c>
      <c r="E5" s="47"/>
      <c r="F5" s="49">
        <v>0</v>
      </c>
      <c r="G5" s="49">
        <v>70</v>
      </c>
      <c r="H5" s="49">
        <v>0</v>
      </c>
      <c r="I5" s="49">
        <v>0</v>
      </c>
      <c r="J5" s="49">
        <v>0</v>
      </c>
      <c r="K5" s="49">
        <v>0</v>
      </c>
      <c r="L5" s="47">
        <f>ROUND(0.721518987341772,2)</f>
        <v>0.72</v>
      </c>
      <c r="M5" s="47">
        <f>ROUND(1.42405063291139,2)</f>
        <v>1.42</v>
      </c>
      <c r="N5" s="63">
        <f>ROUND(IF('Bicycle Parking Invest. Input'!$C$8&lt;2020,Database!AH5+('Bicycle Parking Invest. Input'!$C$8-2008)*((Database!AI5-Database!AH5)/12),Database!AI5+('Bicycle Parking Invest. Input'!$C$8-2020)*((Database!AJ5-Database!AI5)/10)),-2)</f>
        <v>14600</v>
      </c>
      <c r="O5" s="80">
        <v>1</v>
      </c>
      <c r="P5" s="82"/>
      <c r="Q5" s="180">
        <v>2.6829268292682928</v>
      </c>
      <c r="R5" s="180">
        <v>4.612903225806452</v>
      </c>
      <c r="S5" s="180">
        <v>3.6436781609195403</v>
      </c>
      <c r="T5" s="180">
        <v>3.13953488372093</v>
      </c>
      <c r="U5" s="180">
        <v>2.5816326530612246</v>
      </c>
      <c r="V5" s="180">
        <v>2.161290322580645</v>
      </c>
      <c r="W5" s="82"/>
      <c r="X5" s="82"/>
      <c r="Z5" s="64">
        <v>25174.412500000009</v>
      </c>
      <c r="AA5" s="56">
        <v>26571.0625</v>
      </c>
      <c r="AB5" s="56">
        <v>27734.9375</v>
      </c>
      <c r="AC5" s="57"/>
      <c r="AD5" s="60">
        <v>0</v>
      </c>
      <c r="AE5" s="60">
        <v>0</v>
      </c>
      <c r="AF5" s="60">
        <v>0</v>
      </c>
      <c r="AG5" s="57"/>
      <c r="AH5" s="59">
        <v>13340.600000000015</v>
      </c>
      <c r="AI5" s="59">
        <v>17074.985454608846</v>
      </c>
      <c r="AJ5" s="59">
        <v>18494.208177017506</v>
      </c>
      <c r="AL5" s="106">
        <v>3.8800366526062433E-2</v>
      </c>
      <c r="AM5" s="108">
        <f>MIN((Database!AL5+('Bicycle Parking Invest. Input'!$C$8-2008)*((Database!AN5-Database!AL5)/12))*100,AP5*100)</f>
        <v>5.1733822034749908</v>
      </c>
      <c r="AN5" s="105">
        <f t="shared" si="0"/>
        <v>7.7600733052124865E-2</v>
      </c>
      <c r="AP5" s="105">
        <f t="shared" si="1"/>
        <v>8.6724313927912008E-2</v>
      </c>
      <c r="AR5" s="311">
        <v>0.26</v>
      </c>
      <c r="AS5" s="311">
        <v>0.04</v>
      </c>
      <c r="AT5" s="311">
        <v>0.08</v>
      </c>
      <c r="AU5" s="311">
        <v>0.12</v>
      </c>
      <c r="AV5" s="311">
        <v>0.09</v>
      </c>
      <c r="AW5" s="311">
        <v>0.41000000000000003</v>
      </c>
      <c r="AY5" s="308">
        <v>0.67</v>
      </c>
      <c r="AZ5" s="308">
        <v>0.19</v>
      </c>
      <c r="BA5" s="308">
        <v>0.3</v>
      </c>
      <c r="BB5" s="308">
        <v>0.41</v>
      </c>
      <c r="BC5" s="308">
        <v>0.62</v>
      </c>
      <c r="BD5" s="308">
        <v>0.81</v>
      </c>
      <c r="BF5" s="84" t="s">
        <v>331</v>
      </c>
      <c r="BG5" s="84">
        <v>0.84</v>
      </c>
      <c r="BH5" s="84" t="s">
        <v>331</v>
      </c>
      <c r="BI5" s="84" t="s">
        <v>331</v>
      </c>
      <c r="BJ5" s="84" t="s">
        <v>331</v>
      </c>
      <c r="BK5" s="84" t="s">
        <v>331</v>
      </c>
      <c r="BM5" s="213">
        <v>6</v>
      </c>
      <c r="BN5" s="213">
        <v>3</v>
      </c>
      <c r="BO5" s="209">
        <v>5</v>
      </c>
      <c r="BP5" s="209">
        <v>4</v>
      </c>
      <c r="BQ5" s="209">
        <v>2</v>
      </c>
      <c r="BR5" s="209">
        <v>1</v>
      </c>
      <c r="BT5" s="230">
        <v>2012</v>
      </c>
      <c r="BU5" s="307">
        <f>ROUND(IF(2012&lt;2020,Database!Z5+(2012-2008)*((Database!AA5-Database!Z5)/12),Database!AA5+(2012-2020)*((Database!AB5-Database!AA5)/10)),0)</f>
        <v>25640</v>
      </c>
      <c r="BX5" s="213"/>
    </row>
    <row r="6" spans="1:76" x14ac:dyDescent="0.25">
      <c r="A6" s="45" t="s">
        <v>10</v>
      </c>
      <c r="B6" s="63">
        <f>IF('Bicycle Parking Invest. Input'!$C$8&lt;2020,Database!Z6+('Bicycle Parking Invest. Input'!$C$8-2008)*((Database!AA6-Database!Z6)/12),Database!AA6+('Bicycle Parking Invest. Input'!$C$8-2020)*((Database!AB6-Database!AA6)/10))</f>
        <v>9206.6333333333332</v>
      </c>
      <c r="C6" s="63">
        <f>IF('Bicycle Parking Invest. Input'!$C$8&lt;2020,Database!AD6+('Bicycle Parking Invest. Input'!$C$8-2008)*((Database!AE6-Database!AD6)/12),Database!AE6+('Bicycle Parking Invest. Input'!$C$8-2020)*((Database!AF6-Database!AE6)/10))</f>
        <v>473.90049751243782</v>
      </c>
      <c r="D6" s="47">
        <v>93.511450381679381</v>
      </c>
      <c r="E6" s="47"/>
      <c r="F6" s="49">
        <v>122</v>
      </c>
      <c r="G6" s="49">
        <v>14</v>
      </c>
      <c r="H6" s="49">
        <v>24</v>
      </c>
      <c r="I6" s="49">
        <v>0</v>
      </c>
      <c r="J6" s="49">
        <v>128</v>
      </c>
      <c r="K6" s="49">
        <v>0</v>
      </c>
      <c r="L6" s="47">
        <f>ROUND(1.43,2)</f>
        <v>1.43</v>
      </c>
      <c r="M6" s="47">
        <f>ROUND(1.68,2)</f>
        <v>1.68</v>
      </c>
      <c r="N6" s="63">
        <f>ROUND(IF('Bicycle Parking Invest. Input'!$C$8&lt;2020,Database!AH6+('Bicycle Parking Invest. Input'!$C$8-2008)*((Database!AI6-Database!AH6)/12),Database!AI6+('Bicycle Parking Invest. Input'!$C$8-2020)*((Database!AJ6-Database!AI6)/10)),-2)</f>
        <v>4800</v>
      </c>
      <c r="O6" s="80">
        <v>2</v>
      </c>
      <c r="P6" s="82"/>
      <c r="Q6" s="180">
        <v>3.031055900621118</v>
      </c>
      <c r="R6" s="180">
        <v>4.729166666666667</v>
      </c>
      <c r="S6" s="180">
        <v>3.7829457364341086</v>
      </c>
      <c r="T6" s="180">
        <v>2.8759124087591239</v>
      </c>
      <c r="U6" s="180">
        <v>2.462025316455696</v>
      </c>
      <c r="V6" s="180">
        <v>2.4444444444444446</v>
      </c>
      <c r="W6" s="82"/>
      <c r="X6" s="82"/>
      <c r="Z6" s="64">
        <v>9071.5750000000007</v>
      </c>
      <c r="AA6" s="56">
        <v>9476.75</v>
      </c>
      <c r="AB6" s="56">
        <v>10017.25</v>
      </c>
      <c r="AC6" s="57"/>
      <c r="AD6" s="60">
        <v>491</v>
      </c>
      <c r="AE6" s="60">
        <v>439.70149253731341</v>
      </c>
      <c r="AF6" s="60">
        <v>439.70149253731341</v>
      </c>
      <c r="AG6" s="57"/>
      <c r="AH6" s="59">
        <v>4799.5999999999958</v>
      </c>
      <c r="AI6" s="59">
        <v>4895.113750133457</v>
      </c>
      <c r="AJ6" s="59">
        <v>5071.6229122268842</v>
      </c>
      <c r="AL6" s="106">
        <v>0.11254704745083363</v>
      </c>
      <c r="AM6" s="108">
        <f>MIN((Database!AL6+('Bicycle Parking Invest. Input'!$C$8-2008)*((Database!AN6-Database!AL6)/12))*100,AP6*100)</f>
        <v>14.254704745083362</v>
      </c>
      <c r="AN6" s="105">
        <f t="shared" si="0"/>
        <v>0.22509409490166726</v>
      </c>
      <c r="AP6" s="105">
        <f t="shared" si="1"/>
        <v>0.14254704745083363</v>
      </c>
      <c r="AR6" s="311">
        <v>0.18</v>
      </c>
      <c r="AS6" s="311">
        <v>0.05</v>
      </c>
      <c r="AT6" s="311">
        <v>0.11</v>
      </c>
      <c r="AU6" s="311">
        <v>0.18</v>
      </c>
      <c r="AV6" s="311">
        <v>0.22</v>
      </c>
      <c r="AW6" s="311">
        <v>0.26</v>
      </c>
      <c r="AY6" s="308">
        <v>0.56000000000000005</v>
      </c>
      <c r="AZ6" s="308">
        <v>0.17</v>
      </c>
      <c r="BA6" s="308">
        <v>0.3</v>
      </c>
      <c r="BB6" s="308">
        <v>0.53</v>
      </c>
      <c r="BC6" s="308">
        <v>0.74</v>
      </c>
      <c r="BD6" s="308">
        <v>0.70000000000000018</v>
      </c>
      <c r="BF6" s="84">
        <v>0.57999999999999996</v>
      </c>
      <c r="BG6" s="84">
        <v>1.5</v>
      </c>
      <c r="BH6" s="84">
        <v>0.25</v>
      </c>
      <c r="BI6" s="84" t="s">
        <v>331</v>
      </c>
      <c r="BJ6" s="84">
        <v>0.6</v>
      </c>
      <c r="BK6" s="84" t="s">
        <v>331</v>
      </c>
      <c r="BM6" s="213">
        <v>6</v>
      </c>
      <c r="BN6" s="213">
        <v>4</v>
      </c>
      <c r="BO6" s="209">
        <v>5</v>
      </c>
      <c r="BP6" s="209">
        <v>3</v>
      </c>
      <c r="BQ6" s="209">
        <v>2</v>
      </c>
      <c r="BR6" s="209">
        <v>1</v>
      </c>
      <c r="BT6" s="230">
        <v>2012</v>
      </c>
      <c r="BU6" s="307">
        <f>ROUND(IF(2012&lt;2020,Database!Z6+(2012-2008)*((Database!AA6-Database!Z6)/12),Database!AA6+(2012-2020)*((Database!AB6-Database!AA6)/10)),0)</f>
        <v>9207</v>
      </c>
      <c r="BX6" s="213"/>
    </row>
    <row r="7" spans="1:76" x14ac:dyDescent="0.25">
      <c r="A7" s="45" t="s">
        <v>76</v>
      </c>
      <c r="B7" s="63">
        <f>IF('Bicycle Parking Invest. Input'!$C$8&lt;2020,Database!Z7+('Bicycle Parking Invest. Input'!$C$8-2008)*((Database!AA7-Database!Z7)/12),Database!AA7+('Bicycle Parking Invest. Input'!$C$8-2020)*((Database!AB7-Database!AA7)/10))</f>
        <v>9588.75</v>
      </c>
      <c r="C7" s="63">
        <f>IF('Bicycle Parking Invest. Input'!$C$8&lt;2020,Database!AD7+('Bicycle Parking Invest. Input'!$C$8-2008)*((Database!AE7-Database!AD7)/12),Database!AE7+('Bicycle Parking Invest. Input'!$C$8-2020)*((Database!AF7-Database!AE7)/10))</f>
        <v>0</v>
      </c>
      <c r="D7" s="47">
        <v>90.074906367041194</v>
      </c>
      <c r="E7" s="47"/>
      <c r="F7" s="49">
        <v>28</v>
      </c>
      <c r="G7" s="49">
        <v>60</v>
      </c>
      <c r="H7" s="49">
        <v>0</v>
      </c>
      <c r="I7" s="49">
        <v>0</v>
      </c>
      <c r="J7" s="49">
        <v>0</v>
      </c>
      <c r="K7" s="49">
        <v>0</v>
      </c>
      <c r="L7" s="47">
        <f>ROUND(0.925925925925926,2)</f>
        <v>0.93</v>
      </c>
      <c r="M7" s="47">
        <f>ROUND(1.57692307692308,2)</f>
        <v>1.58</v>
      </c>
      <c r="N7" s="63">
        <f>ROUND(IF('Bicycle Parking Invest. Input'!$C$8&lt;2020,Database!AH7+('Bicycle Parking Invest. Input'!$C$8-2008)*((Database!AI7-Database!AH7)/12),Database!AI7+('Bicycle Parking Invest. Input'!$C$8-2020)*((Database!AJ7-Database!AI7)/10)),-2)</f>
        <v>16300</v>
      </c>
      <c r="O7" s="80">
        <v>2</v>
      </c>
      <c r="P7" s="82"/>
      <c r="Q7" s="180">
        <v>2.6315789473684212</v>
      </c>
      <c r="R7" s="180">
        <v>5.1333333333333337</v>
      </c>
      <c r="S7" s="180">
        <v>3.1428571428571428</v>
      </c>
      <c r="T7" s="180">
        <v>2.7857142857142856</v>
      </c>
      <c r="U7" s="180">
        <v>3.25</v>
      </c>
      <c r="V7" s="180">
        <v>2.3684210526315788</v>
      </c>
      <c r="W7" s="82"/>
      <c r="X7" s="82"/>
      <c r="Z7" s="64">
        <v>9517.75</v>
      </c>
      <c r="AA7" s="56">
        <v>9730.75</v>
      </c>
      <c r="AB7" s="56">
        <v>9908.25</v>
      </c>
      <c r="AC7" s="57"/>
      <c r="AD7" s="60">
        <v>0</v>
      </c>
      <c r="AE7" s="60">
        <v>0</v>
      </c>
      <c r="AF7" s="60">
        <v>0</v>
      </c>
      <c r="AG7" s="57"/>
      <c r="AH7" s="59">
        <v>15576.999999999978</v>
      </c>
      <c r="AI7" s="59">
        <v>17815.030703869219</v>
      </c>
      <c r="AJ7" s="59">
        <v>18361.702787639031</v>
      </c>
      <c r="AL7" s="106">
        <v>2.039956150657761E-2</v>
      </c>
      <c r="AM7" s="108">
        <f>MIN((Database!AL7+('Bicycle Parking Invest. Input'!$C$8-2008)*((Database!AN7-Database!AL7)/12))*100,AP7*100)</f>
        <v>2.7199415342103479</v>
      </c>
      <c r="AN7" s="105">
        <f t="shared" si="0"/>
        <v>4.079912301315522E-2</v>
      </c>
      <c r="AP7" s="105">
        <f t="shared" si="1"/>
        <v>0.14254704745083363</v>
      </c>
      <c r="AR7" s="311">
        <v>0.32</v>
      </c>
      <c r="AS7" s="311">
        <v>0</v>
      </c>
      <c r="AT7" s="311">
        <v>0.23</v>
      </c>
      <c r="AU7" s="311">
        <v>0.05</v>
      </c>
      <c r="AV7" s="311">
        <v>0.09</v>
      </c>
      <c r="AW7" s="311">
        <v>0.30999999999999994</v>
      </c>
      <c r="AY7" s="308">
        <v>0.68</v>
      </c>
      <c r="AZ7" s="308">
        <v>0.11</v>
      </c>
      <c r="BA7" s="308">
        <v>0.42</v>
      </c>
      <c r="BB7" s="308">
        <v>0.53</v>
      </c>
      <c r="BC7" s="308">
        <v>0.42</v>
      </c>
      <c r="BD7" s="308">
        <v>0.83999999999999986</v>
      </c>
      <c r="BF7" s="84">
        <v>0.14000000000000001</v>
      </c>
      <c r="BG7" s="84">
        <v>0.43</v>
      </c>
      <c r="BH7" s="84" t="s">
        <v>331</v>
      </c>
      <c r="BI7" s="84" t="s">
        <v>331</v>
      </c>
      <c r="BJ7" s="84" t="s">
        <v>331</v>
      </c>
      <c r="BK7" s="84" t="s">
        <v>331</v>
      </c>
      <c r="BM7" s="213">
        <v>6</v>
      </c>
      <c r="BN7" s="213">
        <v>2</v>
      </c>
      <c r="BO7" s="209">
        <v>4</v>
      </c>
      <c r="BP7" s="209">
        <v>3</v>
      </c>
      <c r="BQ7" s="209">
        <v>5</v>
      </c>
      <c r="BR7" s="209">
        <v>1</v>
      </c>
      <c r="BT7" s="230">
        <v>2012</v>
      </c>
      <c r="BU7" s="307">
        <f>ROUND(IF(2012&lt;2020,Database!Z7+(2012-2008)*((Database!AA7-Database!Z7)/12),Database!AA7+(2012-2020)*((Database!AB7-Database!AA7)/10)),0)</f>
        <v>9589</v>
      </c>
      <c r="BX7" s="213"/>
    </row>
    <row r="8" spans="1:76" x14ac:dyDescent="0.25">
      <c r="A8" s="45" t="s">
        <v>77</v>
      </c>
      <c r="B8" s="63">
        <f>IF('Bicycle Parking Invest. Input'!$C$8&lt;2020,Database!Z8+('Bicycle Parking Invest. Input'!$C$8-2008)*((Database!AA8-Database!Z8)/12),Database!AA8+('Bicycle Parking Invest. Input'!$C$8-2020)*((Database!AB8-Database!AA8)/10))</f>
        <v>7149.1722222222215</v>
      </c>
      <c r="C8" s="63">
        <f>IF('Bicycle Parking Invest. Input'!$C$8&lt;2020,Database!AD8+('Bicycle Parking Invest. Input'!$C$8-2008)*((Database!AE8-Database!AD8)/12),Database!AE8+('Bicycle Parking Invest. Input'!$C$8-2020)*((Database!AF8-Database!AE8)/10))</f>
        <v>1551</v>
      </c>
      <c r="D8" s="47">
        <v>96.32352941176471</v>
      </c>
      <c r="E8" s="47"/>
      <c r="F8" s="49">
        <v>42</v>
      </c>
      <c r="G8" s="49">
        <v>0</v>
      </c>
      <c r="H8" s="49">
        <v>16</v>
      </c>
      <c r="I8" s="49">
        <v>0</v>
      </c>
      <c r="J8" s="49">
        <v>0</v>
      </c>
      <c r="K8" s="49">
        <v>0</v>
      </c>
      <c r="L8" s="47">
        <f>ROUND(0.666666666666667,2)</f>
        <v>0.67</v>
      </c>
      <c r="M8" s="47">
        <f>ROUND(0.866666666666667,2)</f>
        <v>0.87</v>
      </c>
      <c r="N8" s="63">
        <f>ROUND(IF('Bicycle Parking Invest. Input'!$C$8&lt;2020,Database!AH8+('Bicycle Parking Invest. Input'!$C$8-2008)*((Database!AI8-Database!AH8)/12),Database!AI8+('Bicycle Parking Invest. Input'!$C$8-2020)*((Database!AJ8-Database!AI8)/10)),-2)</f>
        <v>5900</v>
      </c>
      <c r="O8" s="80">
        <v>3</v>
      </c>
      <c r="P8" s="82"/>
      <c r="Q8" s="180">
        <v>1.8</v>
      </c>
      <c r="R8" s="180">
        <v>5.5555555555555554</v>
      </c>
      <c r="S8" s="180">
        <v>3</v>
      </c>
      <c r="T8" s="180">
        <v>3.1111111111111112</v>
      </c>
      <c r="U8" s="180">
        <v>3.4444444444444446</v>
      </c>
      <c r="V8" s="180">
        <v>2.6</v>
      </c>
      <c r="W8" s="82"/>
      <c r="X8" s="82"/>
      <c r="Z8" s="64">
        <v>6822.4249999999993</v>
      </c>
      <c r="AA8" s="56">
        <v>7802.6666666666661</v>
      </c>
      <c r="AB8" s="56">
        <v>8727.5</v>
      </c>
      <c r="AC8" s="57"/>
      <c r="AD8" s="60">
        <v>1551</v>
      </c>
      <c r="AE8" s="60">
        <v>1551</v>
      </c>
      <c r="AF8" s="60">
        <v>1551</v>
      </c>
      <c r="AG8" s="57"/>
      <c r="AH8" s="59">
        <v>5731.7999999999993</v>
      </c>
      <c r="AI8" s="59">
        <v>6116.0625984574035</v>
      </c>
      <c r="AJ8" s="59">
        <v>6525.5203434259138</v>
      </c>
      <c r="AL8" s="106">
        <v>2.2708216831020017E-2</v>
      </c>
      <c r="AM8" s="108">
        <f>MIN((Database!AL8+('Bicycle Parking Invest. Input'!$C$8-2008)*((Database!AN8-Database!AL8)/12))*100,AP8*100)</f>
        <v>3.0277622441360021</v>
      </c>
      <c r="AN8" s="105">
        <f t="shared" si="0"/>
        <v>4.5416433662040033E-2</v>
      </c>
      <c r="AP8" s="105">
        <f t="shared" si="1"/>
        <v>0.12760561445254343</v>
      </c>
      <c r="AR8" s="311">
        <v>0.38</v>
      </c>
      <c r="AS8" s="311">
        <v>0</v>
      </c>
      <c r="AT8" s="311">
        <v>0.23</v>
      </c>
      <c r="AU8" s="311">
        <v>0.15</v>
      </c>
      <c r="AV8" s="311">
        <v>0</v>
      </c>
      <c r="AW8" s="311">
        <v>0.24</v>
      </c>
      <c r="AY8" s="308">
        <v>0.84</v>
      </c>
      <c r="AZ8" s="308">
        <v>0.09</v>
      </c>
      <c r="BA8" s="308">
        <v>0.38</v>
      </c>
      <c r="BB8" s="308">
        <v>0.56000000000000005</v>
      </c>
      <c r="BC8" s="308">
        <v>0.47</v>
      </c>
      <c r="BD8" s="308">
        <v>0.66000000000000014</v>
      </c>
      <c r="BF8" s="84">
        <v>0.45</v>
      </c>
      <c r="BG8" s="84" t="s">
        <v>331</v>
      </c>
      <c r="BH8" s="84">
        <v>0.25</v>
      </c>
      <c r="BI8" s="84" t="s">
        <v>331</v>
      </c>
      <c r="BJ8" s="84" t="s">
        <v>331</v>
      </c>
      <c r="BK8" s="84" t="s">
        <v>331</v>
      </c>
      <c r="BM8" s="213">
        <v>6</v>
      </c>
      <c r="BN8" s="213">
        <v>1</v>
      </c>
      <c r="BO8" s="209">
        <v>3</v>
      </c>
      <c r="BP8" s="209">
        <v>4</v>
      </c>
      <c r="BQ8" s="209">
        <v>5</v>
      </c>
      <c r="BR8" s="209">
        <v>2</v>
      </c>
      <c r="BT8" s="230">
        <v>2012</v>
      </c>
      <c r="BU8" s="307">
        <f>ROUND(IF(2012&lt;2020,Database!Z8+(2012-2008)*((Database!AA8-Database!Z8)/12),Database!AA8+(2012-2020)*((Database!AB8-Database!AA8)/10)),0)</f>
        <v>7149</v>
      </c>
      <c r="BX8" s="213"/>
    </row>
    <row r="9" spans="1:76" x14ac:dyDescent="0.25">
      <c r="A9" s="45" t="s">
        <v>78</v>
      </c>
      <c r="B9" s="63">
        <f>IF('Bicycle Parking Invest. Input'!$C$8&lt;2020,Database!Z9+('Bicycle Parking Invest. Input'!$C$8-2008)*((Database!AA9-Database!Z9)/12),Database!AA9+('Bicycle Parking Invest. Input'!$C$8-2020)*((Database!AB9-Database!AA9)/10))</f>
        <v>3195.61</v>
      </c>
      <c r="C9" s="63">
        <f>IF('Bicycle Parking Invest. Input'!$C$8&lt;2020,Database!AD9+('Bicycle Parking Invest. Input'!$C$8-2008)*((Database!AE9-Database!AD9)/12),Database!AE9+('Bicycle Parking Invest. Input'!$C$8-2020)*((Database!AF9-Database!AE9)/10))</f>
        <v>922</v>
      </c>
      <c r="D9" s="47">
        <v>94.73684210526315</v>
      </c>
      <c r="E9" s="47"/>
      <c r="F9" s="49">
        <v>20</v>
      </c>
      <c r="G9" s="49">
        <v>0</v>
      </c>
      <c r="H9" s="49">
        <v>0</v>
      </c>
      <c r="I9" s="49">
        <v>0</v>
      </c>
      <c r="J9" s="49">
        <v>0</v>
      </c>
      <c r="K9" s="49">
        <v>0</v>
      </c>
      <c r="L9" s="47">
        <f>ROUND(0.764705882352941,2)</f>
        <v>0.76</v>
      </c>
      <c r="M9" s="47">
        <f>ROUND(1.05882352941176,2)</f>
        <v>1.06</v>
      </c>
      <c r="N9" s="63">
        <f>ROUND(IF('Bicycle Parking Invest. Input'!$C$8&lt;2020,Database!AH9+('Bicycle Parking Invest. Input'!$C$8-2008)*((Database!AI9-Database!AH9)/12),Database!AI9+('Bicycle Parking Invest. Input'!$C$8-2020)*((Database!AJ9-Database!AI9)/10)),-2)</f>
        <v>2600</v>
      </c>
      <c r="O9" s="80">
        <v>5</v>
      </c>
      <c r="P9" s="82"/>
      <c r="Q9" s="180">
        <v>2</v>
      </c>
      <c r="R9" s="180">
        <v>5.5714285714285712</v>
      </c>
      <c r="S9" s="180">
        <v>2.5</v>
      </c>
      <c r="T9" s="180">
        <v>3.1818181818181817</v>
      </c>
      <c r="U9" s="180">
        <v>2.8</v>
      </c>
      <c r="V9" s="180">
        <v>2.9090909090909092</v>
      </c>
      <c r="W9" s="82"/>
      <c r="X9" s="82"/>
      <c r="Z9" s="64">
        <v>3069.3650000000002</v>
      </c>
      <c r="AA9" s="56">
        <v>3448.1</v>
      </c>
      <c r="AB9" s="56">
        <v>3889.1</v>
      </c>
      <c r="AC9" s="57"/>
      <c r="AD9" s="60">
        <v>922</v>
      </c>
      <c r="AE9" s="60">
        <v>922</v>
      </c>
      <c r="AF9" s="60">
        <v>922</v>
      </c>
      <c r="AG9" s="57"/>
      <c r="AH9" s="59">
        <v>2520.0000000000009</v>
      </c>
      <c r="AI9" s="59">
        <v>2646.1199534123275</v>
      </c>
      <c r="AJ9" s="59">
        <v>2797.7517270526209</v>
      </c>
      <c r="AL9" s="106">
        <v>3.3350910797076562E-2</v>
      </c>
      <c r="AM9" s="108">
        <f>MIN((Database!AL9+('Bicycle Parking Invest. Input'!$C$8-2008)*((Database!AN9-Database!AL9)/12))*100,AP9*100)</f>
        <v>4.446788106276875</v>
      </c>
      <c r="AN9" s="105">
        <f t="shared" si="0"/>
        <v>6.6701821594153124E-2</v>
      </c>
      <c r="AP9" s="105">
        <f t="shared" si="1"/>
        <v>8.1942294609724686E-2</v>
      </c>
      <c r="AR9" s="311">
        <v>0.4</v>
      </c>
      <c r="AS9" s="311">
        <v>0</v>
      </c>
      <c r="AT9" s="311">
        <v>0.2</v>
      </c>
      <c r="AU9" s="311">
        <v>0.2</v>
      </c>
      <c r="AV9" s="311">
        <v>0.13</v>
      </c>
      <c r="AW9" s="311">
        <v>6.9999999999999951E-2</v>
      </c>
      <c r="AY9" s="308">
        <v>0.77</v>
      </c>
      <c r="AZ9" s="308">
        <v>0</v>
      </c>
      <c r="BA9" s="308">
        <v>0.62</v>
      </c>
      <c r="BB9" s="308">
        <v>0.46</v>
      </c>
      <c r="BC9" s="308">
        <v>0.46</v>
      </c>
      <c r="BD9" s="308">
        <v>0.69</v>
      </c>
      <c r="BF9" s="84">
        <v>0.1</v>
      </c>
      <c r="BG9" s="84" t="s">
        <v>331</v>
      </c>
      <c r="BH9" s="84" t="s">
        <v>331</v>
      </c>
      <c r="BI9" s="84" t="s">
        <v>331</v>
      </c>
      <c r="BJ9" s="84" t="s">
        <v>331</v>
      </c>
      <c r="BK9" s="84" t="s">
        <v>331</v>
      </c>
      <c r="BM9" s="213">
        <v>6</v>
      </c>
      <c r="BN9" s="213">
        <v>1</v>
      </c>
      <c r="BO9" s="209">
        <v>2</v>
      </c>
      <c r="BP9" s="209">
        <v>5</v>
      </c>
      <c r="BQ9" s="209">
        <v>3</v>
      </c>
      <c r="BR9" s="209">
        <v>4</v>
      </c>
      <c r="BT9" s="230">
        <v>2012</v>
      </c>
      <c r="BU9" s="307">
        <f>ROUND(IF(2012&lt;2020,Database!Z9+(2012-2008)*((Database!AA9-Database!Z9)/12),Database!AA9+(2012-2020)*((Database!AB9-Database!AA9)/10)),0)</f>
        <v>3196</v>
      </c>
      <c r="BX9" s="213"/>
    </row>
    <row r="10" spans="1:76" x14ac:dyDescent="0.25">
      <c r="A10" s="45" t="s">
        <v>48</v>
      </c>
      <c r="B10" s="63">
        <f>IF('Bicycle Parking Invest. Input'!$C$8&lt;2020,Database!Z10+('Bicycle Parking Invest. Input'!$C$8-2008)*((Database!AA10-Database!Z10)/12),Database!AA10+('Bicycle Parking Invest. Input'!$C$8-2020)*((Database!AB10-Database!AA10)/10))</f>
        <v>23237.350000000002</v>
      </c>
      <c r="C10" s="63">
        <f>IF('Bicycle Parking Invest. Input'!$C$8&lt;2020,Database!AD10+('Bicycle Parking Invest. Input'!$C$8-2008)*((Database!AE10-Database!AD10)/12),Database!AE10+('Bicycle Parking Invest. Input'!$C$8-2020)*((Database!AF10-Database!AE10)/10))</f>
        <v>0</v>
      </c>
      <c r="D10" s="47">
        <v>79.739776951672852</v>
      </c>
      <c r="E10" s="47"/>
      <c r="F10" s="49">
        <v>0</v>
      </c>
      <c r="G10" s="49">
        <v>63</v>
      </c>
      <c r="H10" s="49">
        <v>0</v>
      </c>
      <c r="I10" s="49">
        <v>0</v>
      </c>
      <c r="J10" s="49">
        <v>0</v>
      </c>
      <c r="K10" s="49">
        <v>0</v>
      </c>
      <c r="L10" s="47">
        <f>ROUND(0.554878048780488,2)</f>
        <v>0.55000000000000004</v>
      </c>
      <c r="M10" s="47">
        <f>ROUND(1.07272727272727,2)</f>
        <v>1.07</v>
      </c>
      <c r="N10" s="63">
        <f>ROUND(IF('Bicycle Parking Invest. Input'!$C$8&lt;2020,Database!AH10+('Bicycle Parking Invest. Input'!$C$8-2008)*((Database!AI10-Database!AH10)/12),Database!AI10+('Bicycle Parking Invest. Input'!$C$8-2020)*((Database!AJ10-Database!AI10)/10)),-2)</f>
        <v>23200</v>
      </c>
      <c r="O10" s="80">
        <v>1</v>
      </c>
      <c r="P10" s="82"/>
      <c r="Q10" s="180">
        <v>2.7943262411347516</v>
      </c>
      <c r="R10" s="180">
        <v>4.7053571428571432</v>
      </c>
      <c r="S10" s="180">
        <v>3.2941176470588234</v>
      </c>
      <c r="T10" s="180">
        <v>3.1030927835051547</v>
      </c>
      <c r="U10" s="180">
        <v>2.7964601769911503</v>
      </c>
      <c r="V10" s="180">
        <v>2.2846153846153845</v>
      </c>
      <c r="W10" s="82"/>
      <c r="X10" s="82"/>
      <c r="Z10" s="64">
        <v>22299.15</v>
      </c>
      <c r="AA10" s="56">
        <v>25113.75</v>
      </c>
      <c r="AB10" s="56">
        <v>27459.25</v>
      </c>
      <c r="AC10" s="57"/>
      <c r="AD10" s="60">
        <v>0</v>
      </c>
      <c r="AE10" s="60">
        <v>0</v>
      </c>
      <c r="AF10" s="60">
        <v>0</v>
      </c>
      <c r="AG10" s="57"/>
      <c r="AH10" s="59">
        <v>22243.399999999994</v>
      </c>
      <c r="AI10" s="59">
        <v>25178.220510094976</v>
      </c>
      <c r="AJ10" s="59">
        <v>26822.076921160147</v>
      </c>
      <c r="AL10" s="106">
        <v>2.6060353897790017E-2</v>
      </c>
      <c r="AM10" s="108">
        <f>MIN((Database!AL10+('Bicycle Parking Invest. Input'!$C$8-2008)*((Database!AN10-Database!AL10)/12))*100,AP10*100)</f>
        <v>3.474713853038669</v>
      </c>
      <c r="AN10" s="105">
        <f t="shared" si="0"/>
        <v>5.2120707795580035E-2</v>
      </c>
      <c r="AP10" s="105">
        <f t="shared" si="1"/>
        <v>8.6724313927912008E-2</v>
      </c>
      <c r="AR10" s="311">
        <v>0.27</v>
      </c>
      <c r="AS10" s="311">
        <v>0.03</v>
      </c>
      <c r="AT10" s="311">
        <v>0.14000000000000001</v>
      </c>
      <c r="AU10" s="311">
        <v>0.1</v>
      </c>
      <c r="AV10" s="311">
        <v>0.13</v>
      </c>
      <c r="AW10" s="311">
        <v>0.32999999999999996</v>
      </c>
      <c r="AY10" s="308">
        <v>0.65</v>
      </c>
      <c r="AZ10" s="308">
        <v>0.19</v>
      </c>
      <c r="BA10" s="308">
        <v>0.4</v>
      </c>
      <c r="BB10" s="308">
        <v>0.44</v>
      </c>
      <c r="BC10" s="308">
        <v>0.56000000000000005</v>
      </c>
      <c r="BD10" s="308">
        <v>0.75999999999999979</v>
      </c>
      <c r="BF10" s="84" t="s">
        <v>331</v>
      </c>
      <c r="BG10" s="84">
        <v>0.84</v>
      </c>
      <c r="BH10" s="84" t="s">
        <v>331</v>
      </c>
      <c r="BI10" s="84" t="s">
        <v>331</v>
      </c>
      <c r="BJ10" s="84" t="s">
        <v>331</v>
      </c>
      <c r="BK10" s="84" t="s">
        <v>331</v>
      </c>
      <c r="BM10" s="213">
        <v>6</v>
      </c>
      <c r="BN10" s="213">
        <v>2</v>
      </c>
      <c r="BO10" s="209">
        <v>5</v>
      </c>
      <c r="BP10" s="209">
        <v>4</v>
      </c>
      <c r="BQ10" s="209">
        <v>3</v>
      </c>
      <c r="BR10" s="209">
        <v>1</v>
      </c>
      <c r="BT10" s="230">
        <v>2012</v>
      </c>
      <c r="BU10" s="307">
        <f>ROUND(IF(2012&lt;2020,Database!Z10+(2012-2008)*((Database!AA10-Database!Z10)/12),Database!AA10+(2012-2020)*((Database!AB10-Database!AA10)/10)),0)</f>
        <v>23237</v>
      </c>
      <c r="BX10" s="213"/>
    </row>
    <row r="11" spans="1:76" x14ac:dyDescent="0.25">
      <c r="A11" s="45" t="s">
        <v>79</v>
      </c>
      <c r="B11" s="63">
        <f>ROUND(IF('Bicycle Parking Invest. Input'!$C$8&lt;2020,Database!Z11+('Bicycle Parking Invest. Input'!$C$8-2008)*((Database!AA11-Database!Z11)/12),Database!AA11+('Bicycle Parking Invest. Input'!$C$8-2020)*((Database!AB11-Database!AA11)/10)),0)</f>
        <v>3186</v>
      </c>
      <c r="C11" s="63">
        <f>ROUND(IF('Bicycle Parking Invest. Input'!$C$8&lt;2020,Database!AD11+('Bicycle Parking Invest. Input'!$C$8-2008)*((Database!AE11-Database!AD11)/12),Database!AE11+('Bicycle Parking Invest. Input'!$C$8-2020)*((Database!AF11-Database!AE11)/10)),0)</f>
        <v>918</v>
      </c>
      <c r="D11" s="47">
        <f>ROUND(92.1182266009852,0)</f>
        <v>92</v>
      </c>
      <c r="E11" s="47"/>
      <c r="F11" s="49">
        <v>63</v>
      </c>
      <c r="G11" s="49">
        <v>0</v>
      </c>
      <c r="H11" s="49">
        <v>0</v>
      </c>
      <c r="I11" s="49">
        <v>0</v>
      </c>
      <c r="J11" s="49">
        <v>0</v>
      </c>
      <c r="K11" s="49">
        <v>0</v>
      </c>
      <c r="L11" s="47">
        <f>ROUND(0.166666666666667,2)</f>
        <v>0.17</v>
      </c>
      <c r="M11" s="47">
        <f>ROUND(0.75,2)</f>
        <v>0.75</v>
      </c>
      <c r="N11" s="63">
        <f>ROUND(IF('Bicycle Parking Invest. Input'!$C$8&lt;2020,Database!AH11+('Bicycle Parking Invest. Input'!$C$8-2008)*((Database!AI11-Database!AH11)/12),Database!AI11+('Bicycle Parking Invest. Input'!$C$8-2020)*((Database!AJ11-Database!AI11)/10)),-2)</f>
        <v>6000</v>
      </c>
      <c r="O11" s="80">
        <v>3</v>
      </c>
      <c r="P11" s="82"/>
      <c r="Q11" s="180">
        <v>3.6666666666666665</v>
      </c>
      <c r="R11" s="180">
        <v>5.666666666666667</v>
      </c>
      <c r="S11" s="180">
        <v>2.8571428571428572</v>
      </c>
      <c r="T11" s="180">
        <v>3.1666666666666665</v>
      </c>
      <c r="U11" s="180">
        <v>2.1428571428571428</v>
      </c>
      <c r="V11" s="180">
        <v>1.625</v>
      </c>
      <c r="W11" s="82"/>
      <c r="X11" s="82"/>
      <c r="Z11" s="64">
        <v>2404.1750000000002</v>
      </c>
      <c r="AA11" s="56">
        <v>4750.75</v>
      </c>
      <c r="AB11" s="56">
        <v>7081.75</v>
      </c>
      <c r="AC11" s="57"/>
      <c r="AD11" s="60">
        <v>918</v>
      </c>
      <c r="AE11" s="60">
        <v>918</v>
      </c>
      <c r="AF11" s="60">
        <v>918</v>
      </c>
      <c r="AG11" s="57"/>
      <c r="AH11" s="59">
        <v>5654.6931764705896</v>
      </c>
      <c r="AI11" s="59">
        <v>6621.1361539061636</v>
      </c>
      <c r="AJ11" s="59">
        <v>7613.4776438776826</v>
      </c>
      <c r="AL11" s="106">
        <v>2.2823819704501539E-2</v>
      </c>
      <c r="AM11" s="108">
        <f>MIN((Database!AL11+('Bicycle Parking Invest. Input'!$C$8-2008)*((Database!AN11-Database!AL11)/12))*100,AP11*100)</f>
        <v>3.0431759606002053</v>
      </c>
      <c r="AN11" s="105">
        <f t="shared" si="0"/>
        <v>4.5647639409003078E-2</v>
      </c>
      <c r="AP11" s="105">
        <f t="shared" si="1"/>
        <v>0.12760561445254343</v>
      </c>
      <c r="AR11" s="311">
        <v>0</v>
      </c>
      <c r="AS11" s="311">
        <v>0</v>
      </c>
      <c r="AT11" s="311">
        <v>0.1</v>
      </c>
      <c r="AU11" s="311">
        <v>0.2</v>
      </c>
      <c r="AV11" s="311">
        <v>0.1</v>
      </c>
      <c r="AW11" s="311">
        <v>0.6</v>
      </c>
      <c r="AY11" s="308">
        <v>0.38</v>
      </c>
      <c r="AZ11" s="308">
        <v>0</v>
      </c>
      <c r="BA11" s="308">
        <v>0.63</v>
      </c>
      <c r="BB11" s="308">
        <v>0.25</v>
      </c>
      <c r="BC11" s="308">
        <v>0.88</v>
      </c>
      <c r="BD11" s="308">
        <v>0.85999999999999988</v>
      </c>
      <c r="BF11" s="84">
        <v>0.1</v>
      </c>
      <c r="BG11" s="84" t="s">
        <v>331</v>
      </c>
      <c r="BH11" s="84" t="s">
        <v>331</v>
      </c>
      <c r="BI11" s="84" t="s">
        <v>331</v>
      </c>
      <c r="BJ11" s="84" t="s">
        <v>331</v>
      </c>
      <c r="BK11" s="84" t="s">
        <v>331</v>
      </c>
      <c r="BM11" s="213">
        <v>6</v>
      </c>
      <c r="BN11" s="213">
        <v>5</v>
      </c>
      <c r="BO11" s="209">
        <v>3</v>
      </c>
      <c r="BP11" s="209">
        <v>4</v>
      </c>
      <c r="BQ11" s="209">
        <v>2</v>
      </c>
      <c r="BR11" s="209">
        <v>1</v>
      </c>
      <c r="BT11" s="230">
        <v>2012</v>
      </c>
      <c r="BU11" s="307">
        <f>ROUND(IF(2012&lt;2020,Database!Z11+(2012-2008)*((Database!AA11-Database!Z11)/12),Database!AA11+(2012-2020)*((Database!AB11-Database!AA11)/10)),0)</f>
        <v>3186</v>
      </c>
      <c r="BX11" s="213"/>
    </row>
    <row r="12" spans="1:76" x14ac:dyDescent="0.25">
      <c r="A12" s="45" t="s">
        <v>49</v>
      </c>
      <c r="B12" s="63">
        <f>ROUND(IF('Bicycle Parking Invest. Input'!$C$8&lt;2020,Database!Z12+('Bicycle Parking Invest. Input'!$C$8-2008)*((Database!AA12-Database!Z12)/12),Database!AA12+('Bicycle Parking Invest. Input'!$C$8-2020)*((Database!AB12-Database!AA12)/10)),0)</f>
        <v>4574</v>
      </c>
      <c r="C12" s="63">
        <f>ROUND(IF('Bicycle Parking Invest. Input'!$C$8&lt;2020,Database!AD12+('Bicycle Parking Invest. Input'!$C$8-2008)*((Database!AE12-Database!AD12)/12),Database!AE12+('Bicycle Parking Invest. Input'!$C$8-2020)*((Database!AF12-Database!AE12)/10)),0)</f>
        <v>785</v>
      </c>
      <c r="D12" s="47">
        <f>ROUND(95.0191570881226,0)</f>
        <v>95</v>
      </c>
      <c r="E12" s="47"/>
      <c r="F12" s="49">
        <v>40</v>
      </c>
      <c r="G12" s="49">
        <v>0</v>
      </c>
      <c r="H12" s="49">
        <v>0</v>
      </c>
      <c r="I12" s="49">
        <v>0</v>
      </c>
      <c r="J12" s="49">
        <v>0</v>
      </c>
      <c r="K12" s="49">
        <v>0</v>
      </c>
      <c r="L12" s="47">
        <f>ROUND(1.75,2)</f>
        <v>1.75</v>
      </c>
      <c r="M12" s="47">
        <f>ROUND(1.25,2)</f>
        <v>1.25</v>
      </c>
      <c r="N12" s="63">
        <f>ROUND(IF('Bicycle Parking Invest. Input'!$C$8&lt;2020,Database!AH12+('Bicycle Parking Invest. Input'!$C$8-2008)*((Database!AI12-Database!AH12)/12),Database!AI12+('Bicycle Parking Invest. Input'!$C$8-2020)*((Database!AJ12-Database!AI12)/10)),-2)</f>
        <v>3900</v>
      </c>
      <c r="O12" s="80">
        <v>4</v>
      </c>
      <c r="P12" s="82"/>
      <c r="Q12" s="180">
        <v>3.5</v>
      </c>
      <c r="R12" s="180">
        <v>6</v>
      </c>
      <c r="S12" s="180">
        <v>1</v>
      </c>
      <c r="T12" s="180">
        <v>4</v>
      </c>
      <c r="U12" s="180">
        <v>3</v>
      </c>
      <c r="V12" s="180">
        <v>2</v>
      </c>
      <c r="W12" s="82"/>
      <c r="X12" s="82"/>
      <c r="Z12" s="64">
        <v>4369.2</v>
      </c>
      <c r="AA12" s="56">
        <v>4982.75</v>
      </c>
      <c r="AB12" s="56">
        <v>5754.75</v>
      </c>
      <c r="AC12" s="57"/>
      <c r="AD12" s="60">
        <v>785</v>
      </c>
      <c r="AE12" s="60">
        <v>785</v>
      </c>
      <c r="AF12" s="60">
        <v>785</v>
      </c>
      <c r="AG12" s="57"/>
      <c r="AH12" s="59">
        <v>3794.4000000000024</v>
      </c>
      <c r="AI12" s="59">
        <v>4067.0655152259687</v>
      </c>
      <c r="AJ12" s="59">
        <v>4363.5910025174844</v>
      </c>
      <c r="AL12" s="106">
        <v>5.687655789991722E-3</v>
      </c>
      <c r="AM12" s="108">
        <f>MIN((Database!AL12+('Bicycle Parking Invest. Input'!$C$8-2008)*((Database!AN12-Database!AL12)/12))*100,AP12*100)</f>
        <v>0.75835410533222958</v>
      </c>
      <c r="AN12" s="105">
        <f t="shared" si="0"/>
        <v>1.1375311579983444E-2</v>
      </c>
      <c r="AP12" s="105">
        <f t="shared" si="1"/>
        <v>8.4195848487075578E-2</v>
      </c>
      <c r="AR12" s="311">
        <v>0</v>
      </c>
      <c r="AS12" s="311">
        <v>0</v>
      </c>
      <c r="AT12" s="311">
        <v>1</v>
      </c>
      <c r="AU12" s="311">
        <v>0</v>
      </c>
      <c r="AV12" s="311">
        <v>0</v>
      </c>
      <c r="AW12" s="311">
        <v>0</v>
      </c>
      <c r="AY12" s="308">
        <v>0.6</v>
      </c>
      <c r="AZ12" s="308">
        <v>0</v>
      </c>
      <c r="BA12" s="308">
        <v>1.2</v>
      </c>
      <c r="BB12" s="308">
        <v>0</v>
      </c>
      <c r="BC12" s="308">
        <v>0.6</v>
      </c>
      <c r="BD12" s="308">
        <v>0.60000000000000009</v>
      </c>
      <c r="BF12" s="84">
        <v>0.08</v>
      </c>
      <c r="BG12" s="84" t="s">
        <v>331</v>
      </c>
      <c r="BH12" s="84" t="s">
        <v>331</v>
      </c>
      <c r="BI12" s="84" t="s">
        <v>331</v>
      </c>
      <c r="BJ12" s="84" t="s">
        <v>331</v>
      </c>
      <c r="BK12" s="84" t="s">
        <v>331</v>
      </c>
      <c r="BM12" s="213">
        <v>6</v>
      </c>
      <c r="BN12" s="213">
        <v>4</v>
      </c>
      <c r="BO12" s="209">
        <v>1</v>
      </c>
      <c r="BP12" s="209">
        <v>5</v>
      </c>
      <c r="BQ12" s="209">
        <v>3</v>
      </c>
      <c r="BR12" s="209">
        <v>2</v>
      </c>
      <c r="BT12" s="230">
        <v>2012</v>
      </c>
      <c r="BU12" s="307">
        <f>ROUND(IF(2012&lt;2020,Database!Z12+(2012-2008)*((Database!AA12-Database!Z12)/12),Database!AA12+(2012-2020)*((Database!AB12-Database!AA12)/10)),0)</f>
        <v>4574</v>
      </c>
      <c r="BX12" s="213"/>
    </row>
    <row r="13" spans="1:76" x14ac:dyDescent="0.25">
      <c r="A13" s="45" t="s">
        <v>80</v>
      </c>
      <c r="B13" s="63">
        <f>ROUND(IF('Bicycle Parking Invest. Input'!$C$8&lt;2020,Database!Z13+('Bicycle Parking Invest. Input'!$C$8-2008)*((Database!AA13-Database!Z13)/12),Database!AA13+('Bicycle Parking Invest. Input'!$C$8-2020)*((Database!AB13-Database!AA13)/10)),0)</f>
        <v>8121</v>
      </c>
      <c r="C13" s="63">
        <f>ROUND(IF('Bicycle Parking Invest. Input'!$C$8&lt;2020,Database!AD13+('Bicycle Parking Invest. Input'!$C$8-2008)*((Database!AE13-Database!AD13)/12),Database!AE13+('Bicycle Parking Invest. Input'!$C$8-2020)*((Database!AF13-Database!AE13)/10)),0)</f>
        <v>2255</v>
      </c>
      <c r="D13" s="47">
        <f>ROUND(92.0454545454545,0)</f>
        <v>92</v>
      </c>
      <c r="E13" s="47"/>
      <c r="F13" s="49">
        <v>119</v>
      </c>
      <c r="G13" s="49">
        <v>0</v>
      </c>
      <c r="H13" s="49">
        <v>0</v>
      </c>
      <c r="I13" s="49">
        <v>16</v>
      </c>
      <c r="J13" s="49">
        <v>0</v>
      </c>
      <c r="K13" s="49">
        <v>0</v>
      </c>
      <c r="L13" s="47">
        <f>ROUND(0.444444444444444,2)</f>
        <v>0.44</v>
      </c>
      <c r="M13" s="47">
        <f>ROUND(1.07407407407407,2)</f>
        <v>1.07</v>
      </c>
      <c r="N13" s="63">
        <f>ROUND(IF('Bicycle Parking Invest. Input'!$C$8&lt;2020,Database!AH13+('Bicycle Parking Invest. Input'!$C$8-2008)*((Database!AI13-Database!AH13)/12),Database!AI13+('Bicycle Parking Invest. Input'!$C$8-2020)*((Database!AJ13-Database!AI13)/10)),-2)</f>
        <v>5900</v>
      </c>
      <c r="O13" s="80">
        <v>5</v>
      </c>
      <c r="P13" s="82"/>
      <c r="Q13" s="180">
        <v>3.1764705882352939</v>
      </c>
      <c r="R13" s="180">
        <v>4.882352941176471</v>
      </c>
      <c r="S13" s="180">
        <v>3.5333333333333332</v>
      </c>
      <c r="T13" s="180">
        <v>2.5625</v>
      </c>
      <c r="U13" s="180">
        <v>2.9375</v>
      </c>
      <c r="V13" s="180">
        <v>2.4375</v>
      </c>
      <c r="W13" s="82"/>
      <c r="X13" s="82"/>
      <c r="Z13" s="64">
        <v>7818.6153266958718</v>
      </c>
      <c r="AA13" s="56">
        <v>8727.0896413631635</v>
      </c>
      <c r="AB13" s="56">
        <v>9690.4469200000003</v>
      </c>
      <c r="AC13" s="57"/>
      <c r="AD13" s="60">
        <v>2255</v>
      </c>
      <c r="AE13" s="60">
        <v>2255</v>
      </c>
      <c r="AF13" s="60">
        <v>2255</v>
      </c>
      <c r="AG13" s="57"/>
      <c r="AH13" s="59">
        <v>5786.0000000000045</v>
      </c>
      <c r="AI13" s="59">
        <v>6165.9175494136634</v>
      </c>
      <c r="AJ13" s="59">
        <v>6537.6972556723385</v>
      </c>
      <c r="AL13" s="106">
        <v>3.9006250185626777E-2</v>
      </c>
      <c r="AM13" s="108">
        <f>MIN((Database!AL13+('Bicycle Parking Invest. Input'!$C$8-2008)*((Database!AN13-Database!AL13)/12))*100,AP13*100)</f>
        <v>5.2008333580835702</v>
      </c>
      <c r="AN13" s="105">
        <f t="shared" si="0"/>
        <v>7.8012500371253554E-2</v>
      </c>
      <c r="AP13" s="105">
        <f t="shared" si="1"/>
        <v>8.1942294609724686E-2</v>
      </c>
      <c r="AR13" s="311">
        <v>0.14000000000000001</v>
      </c>
      <c r="AS13" s="311">
        <v>0</v>
      </c>
      <c r="AT13" s="311">
        <v>0.14000000000000001</v>
      </c>
      <c r="AU13" s="311">
        <v>0.33</v>
      </c>
      <c r="AV13" s="311">
        <v>0.14000000000000001</v>
      </c>
      <c r="AW13" s="311">
        <v>0.24999999999999989</v>
      </c>
      <c r="AY13" s="308">
        <v>0.56000000000000005</v>
      </c>
      <c r="AZ13" s="308">
        <v>0.17</v>
      </c>
      <c r="BA13" s="308">
        <v>0.33</v>
      </c>
      <c r="BB13" s="308">
        <v>0.61</v>
      </c>
      <c r="BC13" s="308">
        <v>0.61</v>
      </c>
      <c r="BD13" s="308">
        <v>0.7200000000000002</v>
      </c>
      <c r="BF13" s="84">
        <v>0.24</v>
      </c>
      <c r="BG13" s="84" t="s">
        <v>331</v>
      </c>
      <c r="BH13" s="84" t="s">
        <v>331</v>
      </c>
      <c r="BI13" s="84">
        <v>0</v>
      </c>
      <c r="BJ13" s="84" t="s">
        <v>331</v>
      </c>
      <c r="BK13" s="84" t="s">
        <v>331</v>
      </c>
      <c r="BM13" s="213">
        <v>6</v>
      </c>
      <c r="BN13" s="213">
        <v>4</v>
      </c>
      <c r="BO13" s="209">
        <v>5</v>
      </c>
      <c r="BP13" s="209">
        <v>2</v>
      </c>
      <c r="BQ13" s="209">
        <v>3</v>
      </c>
      <c r="BR13" s="209">
        <v>1</v>
      </c>
      <c r="BT13" s="230">
        <v>2012</v>
      </c>
      <c r="BU13" s="307">
        <f>ROUND(IF(2012&lt;2020,Database!Z13+(2012-2008)*((Database!AA13-Database!Z13)/12),Database!AA13+(2012-2020)*((Database!AB13-Database!AA13)/10)),0)</f>
        <v>8121</v>
      </c>
      <c r="BX13" s="213"/>
    </row>
    <row r="14" spans="1:76" x14ac:dyDescent="0.25">
      <c r="A14" s="45" t="s">
        <v>81</v>
      </c>
      <c r="B14" s="63">
        <f>ROUND(IF('Bicycle Parking Invest. Input'!$C$8&lt;2020,Database!Z14+('Bicycle Parking Invest. Input'!$C$8-2008)*((Database!AA14-Database!Z14)/12),Database!AA14+('Bicycle Parking Invest. Input'!$C$8-2020)*((Database!AB14-Database!AA14)/10)),0)</f>
        <v>9594</v>
      </c>
      <c r="C14" s="63">
        <f>ROUND(IF('Bicycle Parking Invest. Input'!$C$8&lt;2020,Database!AD14+('Bicycle Parking Invest. Input'!$C$8-2008)*((Database!AE14-Database!AD14)/12),Database!AE14+('Bicycle Parking Invest. Input'!$C$8-2020)*((Database!AF14-Database!AE14)/10)),0)</f>
        <v>1511</v>
      </c>
      <c r="D14" s="47">
        <f>ROUND(90.2621722846442,0)</f>
        <v>90</v>
      </c>
      <c r="E14" s="47"/>
      <c r="F14" s="49">
        <v>49</v>
      </c>
      <c r="G14" s="49">
        <v>0</v>
      </c>
      <c r="H14" s="49">
        <v>0</v>
      </c>
      <c r="I14" s="49">
        <v>20</v>
      </c>
      <c r="J14" s="49">
        <v>0</v>
      </c>
      <c r="K14" s="49">
        <v>0</v>
      </c>
      <c r="L14" s="47">
        <f>ROUND(0.75,2)</f>
        <v>0.75</v>
      </c>
      <c r="M14" s="47">
        <f>ROUND(0.8125,2)</f>
        <v>0.81</v>
      </c>
      <c r="N14" s="63">
        <f>ROUND(IF('Bicycle Parking Invest. Input'!$C$8&lt;2020,Database!AH14+('Bicycle Parking Invest. Input'!$C$8-2008)*((Database!AI14-Database!AH14)/12),Database!AI14+('Bicycle Parking Invest. Input'!$C$8-2020)*((Database!AJ14-Database!AI14)/10)),-2)</f>
        <v>9500</v>
      </c>
      <c r="O14" s="80">
        <v>4</v>
      </c>
      <c r="P14" s="82"/>
      <c r="Q14" s="180">
        <v>2.5</v>
      </c>
      <c r="R14" s="180">
        <v>4.0769230769230766</v>
      </c>
      <c r="S14" s="180">
        <v>3.0714285714285716</v>
      </c>
      <c r="T14" s="180">
        <v>3.4</v>
      </c>
      <c r="U14" s="180">
        <v>3.1666666666666665</v>
      </c>
      <c r="V14" s="180">
        <v>2.5</v>
      </c>
      <c r="W14" s="82"/>
      <c r="X14" s="82"/>
      <c r="Z14" s="64">
        <v>9325.9550000000017</v>
      </c>
      <c r="AA14" s="56">
        <v>10129.975</v>
      </c>
      <c r="AB14" s="56">
        <v>10914.125</v>
      </c>
      <c r="AC14" s="57"/>
      <c r="AD14" s="60">
        <v>1511</v>
      </c>
      <c r="AE14" s="60">
        <v>1511</v>
      </c>
      <c r="AF14" s="60">
        <v>1511</v>
      </c>
      <c r="AG14" s="57"/>
      <c r="AH14" s="59">
        <v>9130.6000000000058</v>
      </c>
      <c r="AI14" s="59">
        <v>10256.313065496184</v>
      </c>
      <c r="AJ14" s="59">
        <v>10565.164660825958</v>
      </c>
      <c r="AL14" s="106">
        <v>7.6679674728325209E-3</v>
      </c>
      <c r="AM14" s="108">
        <f>MIN((Database!AL14+('Bicycle Parking Invest. Input'!$C$8-2008)*((Database!AN14-Database!AL14)/12))*100,AP14*100)</f>
        <v>1.0223956630443363</v>
      </c>
      <c r="AN14" s="105">
        <f t="shared" si="0"/>
        <v>1.5335934945665042E-2</v>
      </c>
      <c r="AP14" s="105">
        <f t="shared" si="1"/>
        <v>8.4195848487075578E-2</v>
      </c>
      <c r="AR14" s="311">
        <v>0.25</v>
      </c>
      <c r="AS14" s="311">
        <v>0.06</v>
      </c>
      <c r="AT14" s="311">
        <v>0.13</v>
      </c>
      <c r="AU14" s="311">
        <v>0.13</v>
      </c>
      <c r="AV14" s="311">
        <v>0.06</v>
      </c>
      <c r="AW14" s="311">
        <v>0.36999999999999988</v>
      </c>
      <c r="AY14" s="308">
        <v>0.72</v>
      </c>
      <c r="AZ14" s="308">
        <v>0.26</v>
      </c>
      <c r="BA14" s="308">
        <v>0.65</v>
      </c>
      <c r="BB14" s="308">
        <v>0.26</v>
      </c>
      <c r="BC14" s="308">
        <v>0.59</v>
      </c>
      <c r="BD14" s="308">
        <v>0.52</v>
      </c>
      <c r="BF14" s="84">
        <v>0.06</v>
      </c>
      <c r="BG14" s="84" t="s">
        <v>331</v>
      </c>
      <c r="BH14" s="84" t="s">
        <v>331</v>
      </c>
      <c r="BI14" s="84">
        <v>0.05</v>
      </c>
      <c r="BJ14" s="84" t="s">
        <v>331</v>
      </c>
      <c r="BK14" s="84" t="s">
        <v>331</v>
      </c>
      <c r="BM14" s="213">
        <v>6</v>
      </c>
      <c r="BN14" s="213">
        <v>1</v>
      </c>
      <c r="BO14" s="209">
        <v>3</v>
      </c>
      <c r="BP14" s="209">
        <v>5</v>
      </c>
      <c r="BQ14" s="209">
        <v>4</v>
      </c>
      <c r="BR14" s="209">
        <v>1</v>
      </c>
      <c r="BT14" s="230">
        <v>2012</v>
      </c>
      <c r="BU14" s="307">
        <f>ROUND(IF(2012&lt;2020,Database!Z14+(2012-2008)*((Database!AA14-Database!Z14)/12),Database!AA14+(2012-2020)*((Database!AB14-Database!AA14)/10)),0)</f>
        <v>9594</v>
      </c>
      <c r="BX14" s="213"/>
    </row>
    <row r="15" spans="1:76" x14ac:dyDescent="0.25">
      <c r="A15" s="45" t="s">
        <v>82</v>
      </c>
      <c r="B15" s="63">
        <f>ROUND(IF('Bicycle Parking Invest. Input'!$C$8&lt;2020,Database!Z15+('Bicycle Parking Invest. Input'!$C$8-2008)*((Database!AA15-Database!Z15)/12),Database!AA15+('Bicycle Parking Invest. Input'!$C$8-2020)*((Database!AB15-Database!AA15)/10)),0)</f>
        <v>10106</v>
      </c>
      <c r="C15" s="63">
        <f>ROUND(IF('Bicycle Parking Invest. Input'!$C$8&lt;2020,Database!AD15+('Bicycle Parking Invest. Input'!$C$8-2008)*((Database!AE15-Database!AD15)/12),Database!AE15+('Bicycle Parking Invest. Input'!$C$8-2020)*((Database!AF15-Database!AE15)/10)),0)</f>
        <v>0</v>
      </c>
      <c r="D15" s="47">
        <f>ROUND(96.9465648854962,0)</f>
        <v>97</v>
      </c>
      <c r="E15" s="47"/>
      <c r="F15" s="49">
        <v>0</v>
      </c>
      <c r="G15" s="49">
        <v>0</v>
      </c>
      <c r="H15" s="49">
        <v>0</v>
      </c>
      <c r="I15" s="49">
        <v>0</v>
      </c>
      <c r="J15" s="49">
        <v>113</v>
      </c>
      <c r="K15" s="49">
        <v>155</v>
      </c>
      <c r="L15" s="47">
        <f>ROUND(2.04347826086957,2)</f>
        <v>2.04</v>
      </c>
      <c r="M15" s="47">
        <f>ROUND(2.02142857142857,2)</f>
        <v>2.02</v>
      </c>
      <c r="N15" s="63">
        <f>ROUND(IF('Bicycle Parking Invest. Input'!$C$8&lt;2020,Database!AH15+('Bicycle Parking Invest. Input'!$C$8-2008)*((Database!AI15-Database!AH15)/12),Database!AI15+('Bicycle Parking Invest. Input'!$C$8-2020)*((Database!AJ15-Database!AI15)/10)),-2)</f>
        <v>12200</v>
      </c>
      <c r="O15" s="80">
        <v>1</v>
      </c>
      <c r="P15" s="82"/>
      <c r="Q15" s="180">
        <v>3.3</v>
      </c>
      <c r="R15" s="180">
        <v>4.4239130434782608</v>
      </c>
      <c r="S15" s="180">
        <v>3.6708860759493671</v>
      </c>
      <c r="T15" s="180">
        <v>2.7045454545454546</v>
      </c>
      <c r="U15" s="180">
        <v>2.7666666666666666</v>
      </c>
      <c r="V15" s="180">
        <v>1.8521739130434782</v>
      </c>
      <c r="W15" s="82"/>
      <c r="X15" s="82"/>
      <c r="Z15" s="64">
        <v>9663.65</v>
      </c>
      <c r="AA15" s="56">
        <v>10989.583333333334</v>
      </c>
      <c r="AB15" s="56">
        <v>12111.25</v>
      </c>
      <c r="AC15" s="57"/>
      <c r="AD15" s="60">
        <v>0</v>
      </c>
      <c r="AE15" s="60">
        <v>0</v>
      </c>
      <c r="AF15" s="60">
        <v>0</v>
      </c>
      <c r="AG15" s="57"/>
      <c r="AH15" s="59">
        <v>11936.800000000012</v>
      </c>
      <c r="AI15" s="59">
        <v>12712.687030664176</v>
      </c>
      <c r="AJ15" s="59">
        <v>13196.957033697367</v>
      </c>
      <c r="AL15" s="106">
        <v>4.9008644268951254E-2</v>
      </c>
      <c r="AM15" s="108">
        <f>MIN((Database!AL15+('Bicycle Parking Invest. Input'!$C$8-2008)*((Database!AN15-Database!AL15)/12))*100,AP15*100)</f>
        <v>6.5344859025268338</v>
      </c>
      <c r="AN15" s="105">
        <f t="shared" si="0"/>
        <v>9.8017288537902508E-2</v>
      </c>
      <c r="AP15" s="105">
        <f t="shared" si="1"/>
        <v>8.6724313927912008E-2</v>
      </c>
      <c r="AR15" s="311">
        <v>0.12</v>
      </c>
      <c r="AS15" s="311">
        <v>0.06</v>
      </c>
      <c r="AT15" s="311">
        <v>0.05</v>
      </c>
      <c r="AU15" s="311">
        <v>0.15</v>
      </c>
      <c r="AV15" s="311">
        <v>0.08</v>
      </c>
      <c r="AW15" s="311">
        <v>0.54</v>
      </c>
      <c r="AY15" s="308">
        <v>0.47</v>
      </c>
      <c r="AZ15" s="308">
        <v>0.23</v>
      </c>
      <c r="BA15" s="308">
        <v>0.3</v>
      </c>
      <c r="BB15" s="308">
        <v>0.52</v>
      </c>
      <c r="BC15" s="308">
        <v>0.61</v>
      </c>
      <c r="BD15" s="308">
        <v>0.87000000000000011</v>
      </c>
      <c r="BF15" s="84" t="s">
        <v>331</v>
      </c>
      <c r="BG15" s="84" t="s">
        <v>331</v>
      </c>
      <c r="BH15" s="84" t="s">
        <v>331</v>
      </c>
      <c r="BI15" s="84" t="s">
        <v>331</v>
      </c>
      <c r="BJ15" s="84">
        <v>0.15</v>
      </c>
      <c r="BK15" s="84">
        <v>0.7</v>
      </c>
      <c r="BM15" s="213">
        <v>6</v>
      </c>
      <c r="BN15" s="213">
        <v>4</v>
      </c>
      <c r="BO15" s="209">
        <v>5</v>
      </c>
      <c r="BP15" s="209">
        <v>2</v>
      </c>
      <c r="BQ15" s="209">
        <v>3</v>
      </c>
      <c r="BR15" s="209">
        <v>1</v>
      </c>
      <c r="BT15" s="230">
        <v>2012</v>
      </c>
      <c r="BU15" s="307">
        <f>ROUND(IF(2012&lt;2020,Database!Z15+(2012-2008)*((Database!AA15-Database!Z15)/12),Database!AA15+(2012-2020)*((Database!AB15-Database!AA15)/10)),0)</f>
        <v>10106</v>
      </c>
      <c r="BX15" s="213"/>
    </row>
    <row r="16" spans="1:76" x14ac:dyDescent="0.25">
      <c r="A16" s="45" t="s">
        <v>83</v>
      </c>
      <c r="B16" s="63">
        <f>ROUND(IF('Bicycle Parking Invest. Input'!$C$8&lt;2020,Database!Z16+('Bicycle Parking Invest. Input'!$C$8-2008)*((Database!AA16-Database!Z16)/12),Database!AA16+('Bicycle Parking Invest. Input'!$C$8-2020)*((Database!AB16-Database!AA16)/10)),0)</f>
        <v>317</v>
      </c>
      <c r="C16" s="63">
        <f>ROUND(IF('Bicycle Parking Invest. Input'!$C$8&lt;2020,Database!AD16+('Bicycle Parking Invest. Input'!$C$8-2008)*((Database!AE16-Database!AD16)/12),Database!AE16+('Bicycle Parking Invest. Input'!$C$8-2020)*((Database!AF16-Database!AE16)/10)),0)</f>
        <v>2688</v>
      </c>
      <c r="D16" s="47">
        <f>ROUND(94.7368421052632,0)</f>
        <v>95</v>
      </c>
      <c r="E16" s="47"/>
      <c r="F16" s="49">
        <v>64</v>
      </c>
      <c r="G16" s="49">
        <v>14</v>
      </c>
      <c r="H16" s="49">
        <v>0</v>
      </c>
      <c r="I16" s="49">
        <v>12</v>
      </c>
      <c r="J16" s="49">
        <v>0</v>
      </c>
      <c r="K16" s="49">
        <v>0</v>
      </c>
      <c r="L16" s="47">
        <f>ROUND(0.840909090909091,2)</f>
        <v>0.84</v>
      </c>
      <c r="M16" s="47">
        <f>ROUND(1.13636363636364,2)</f>
        <v>1.1399999999999999</v>
      </c>
      <c r="N16" s="63">
        <f>ROUND(IF('Bicycle Parking Invest. Input'!$C$8&lt;2020,Database!AH16+('Bicycle Parking Invest. Input'!$C$8-2008)*((Database!AI16-Database!AH16)/12),Database!AI16+('Bicycle Parking Invest. Input'!$C$8-2020)*((Database!AJ16-Database!AI16)/10)),-2)</f>
        <v>7400</v>
      </c>
      <c r="O16" s="80">
        <v>5</v>
      </c>
      <c r="P16" s="82"/>
      <c r="Q16" s="180">
        <v>2.9705882352941178</v>
      </c>
      <c r="R16" s="180">
        <v>5.0625</v>
      </c>
      <c r="S16" s="180">
        <v>2.9393939393939394</v>
      </c>
      <c r="T16" s="180">
        <v>2.65625</v>
      </c>
      <c r="U16" s="180">
        <v>3.2068965517241379</v>
      </c>
      <c r="V16" s="180">
        <v>2.71875</v>
      </c>
      <c r="W16" s="82"/>
      <c r="X16" s="82"/>
      <c r="Z16" s="64">
        <v>338.4</v>
      </c>
      <c r="AA16" s="56">
        <v>275.16666666666669</v>
      </c>
      <c r="AB16" s="56">
        <v>802.5</v>
      </c>
      <c r="AC16" s="57"/>
      <c r="AD16" s="60">
        <v>2821</v>
      </c>
      <c r="AE16" s="60">
        <v>2421.022743769659</v>
      </c>
      <c r="AF16" s="60">
        <v>2421.022743769659</v>
      </c>
      <c r="AG16" s="57"/>
      <c r="AH16" s="59">
        <v>7602.8000000000093</v>
      </c>
      <c r="AI16" s="59">
        <v>7091.554468872695</v>
      </c>
      <c r="AJ16" s="59">
        <v>7484.3318382165326</v>
      </c>
      <c r="AL16" s="106">
        <v>2.3348453839913526E-2</v>
      </c>
      <c r="AM16" s="108">
        <f>MIN((Database!AL16+('Bicycle Parking Invest. Input'!$C$8-2008)*((Database!AN16-Database!AL16)/12))*100,AP16*100)</f>
        <v>3.1131271786551369</v>
      </c>
      <c r="AN16" s="105">
        <f t="shared" si="0"/>
        <v>4.6696907679827052E-2</v>
      </c>
      <c r="AP16" s="105">
        <f t="shared" si="1"/>
        <v>8.1942294609724686E-2</v>
      </c>
      <c r="AR16" s="311">
        <v>0.21</v>
      </c>
      <c r="AS16" s="311">
        <v>0.03</v>
      </c>
      <c r="AT16" s="311">
        <v>0.24</v>
      </c>
      <c r="AU16" s="311">
        <v>0.24</v>
      </c>
      <c r="AV16" s="311">
        <v>0.08</v>
      </c>
      <c r="AW16" s="311">
        <v>0.20000000000000007</v>
      </c>
      <c r="AY16" s="308">
        <v>0.55000000000000004</v>
      </c>
      <c r="AZ16" s="308">
        <v>0.11</v>
      </c>
      <c r="BA16" s="308">
        <v>0.57999999999999996</v>
      </c>
      <c r="BB16" s="308">
        <v>0.66</v>
      </c>
      <c r="BC16" s="308">
        <v>0.5</v>
      </c>
      <c r="BD16" s="308">
        <v>0.60000000000000009</v>
      </c>
      <c r="BF16" s="84">
        <v>0.39</v>
      </c>
      <c r="BG16" s="84">
        <v>1.21</v>
      </c>
      <c r="BH16" s="84" t="s">
        <v>331</v>
      </c>
      <c r="BI16" s="84">
        <v>0.33</v>
      </c>
      <c r="BJ16" s="84" t="s">
        <v>331</v>
      </c>
      <c r="BK16" s="84" t="s">
        <v>331</v>
      </c>
      <c r="BM16" s="213">
        <v>6</v>
      </c>
      <c r="BN16" s="213">
        <v>4</v>
      </c>
      <c r="BO16" s="209">
        <v>3</v>
      </c>
      <c r="BP16" s="209">
        <v>1</v>
      </c>
      <c r="BQ16" s="209">
        <v>5</v>
      </c>
      <c r="BR16" s="209">
        <v>2</v>
      </c>
      <c r="BT16" s="230">
        <v>2012</v>
      </c>
      <c r="BU16" s="307">
        <f>ROUND(IF(2012&lt;2020,Database!Z16+(2012-2008)*((Database!AA16-Database!Z16)/12),Database!AA16+(2012-2020)*((Database!AB16-Database!AA16)/10)),0)</f>
        <v>317</v>
      </c>
      <c r="BX16" s="213"/>
    </row>
    <row r="17" spans="1:76" x14ac:dyDescent="0.25">
      <c r="A17" s="45" t="s">
        <v>84</v>
      </c>
      <c r="B17" s="63">
        <f>ROUND(IF('Bicycle Parking Invest. Input'!$C$8&lt;2020,Database!Z17+('Bicycle Parking Invest. Input'!$C$8-2008)*((Database!AA17-Database!Z17)/12),Database!AA17+('Bicycle Parking Invest. Input'!$C$8-2020)*((Database!AB17-Database!AA17)/10)),0)</f>
        <v>4759</v>
      </c>
      <c r="C17" s="63">
        <f>ROUND(IF('Bicycle Parking Invest. Input'!$C$8&lt;2020,Database!AD17+('Bicycle Parking Invest. Input'!$C$8-2008)*((Database!AE17-Database!AD17)/12),Database!AE17+('Bicycle Parking Invest. Input'!$C$8-2020)*((Database!AF17-Database!AE17)/10)),0)</f>
        <v>2006</v>
      </c>
      <c r="D17" s="47">
        <f>ROUND(96.9465648854962,0)</f>
        <v>97</v>
      </c>
      <c r="E17" s="47"/>
      <c r="F17" s="49">
        <v>126</v>
      </c>
      <c r="G17" s="49">
        <v>0</v>
      </c>
      <c r="H17" s="49">
        <v>0</v>
      </c>
      <c r="I17" s="49">
        <v>0</v>
      </c>
      <c r="J17" s="49">
        <v>0</v>
      </c>
      <c r="K17" s="49">
        <v>0</v>
      </c>
      <c r="L17" s="47">
        <f>ROUND(0.557692307692308,2)</f>
        <v>0.56000000000000005</v>
      </c>
      <c r="M17" s="47">
        <f>ROUND(1.18518518518519,2)</f>
        <v>1.19</v>
      </c>
      <c r="N17" s="63">
        <f>ROUND(IF('Bicycle Parking Invest. Input'!$C$8&lt;2020,Database!AH17+('Bicycle Parking Invest. Input'!$C$8-2008)*((Database!AI17-Database!AH17)/12),Database!AI17+('Bicycle Parking Invest. Input'!$C$8-2020)*((Database!AJ17-Database!AI17)/10)),-2)</f>
        <v>7900</v>
      </c>
      <c r="O17" s="80">
        <v>4</v>
      </c>
      <c r="P17" s="82"/>
      <c r="Q17" s="180">
        <v>3</v>
      </c>
      <c r="R17" s="180">
        <v>4.9285714285714288</v>
      </c>
      <c r="S17" s="180">
        <v>3.2413793103448274</v>
      </c>
      <c r="T17" s="180">
        <v>1.7837837837837838</v>
      </c>
      <c r="U17" s="180">
        <v>2.925925925925926</v>
      </c>
      <c r="V17" s="180">
        <v>2.4516129032258065</v>
      </c>
      <c r="W17" s="82"/>
      <c r="X17" s="82"/>
      <c r="Z17" s="64">
        <v>4662.4205636151901</v>
      </c>
      <c r="AA17" s="56">
        <v>4952.3829165909528</v>
      </c>
      <c r="AB17" s="56">
        <v>5364.1011892099468</v>
      </c>
      <c r="AC17" s="57"/>
      <c r="AD17" s="60">
        <v>2006</v>
      </c>
      <c r="AE17" s="60">
        <v>2006</v>
      </c>
      <c r="AF17" s="60">
        <v>2006</v>
      </c>
      <c r="AG17" s="57"/>
      <c r="AH17" s="59">
        <v>7793.0000000000091</v>
      </c>
      <c r="AI17" s="59">
        <v>8069.805476687211</v>
      </c>
      <c r="AJ17" s="59">
        <v>8325.071781063376</v>
      </c>
      <c r="AL17" s="106">
        <v>3.0764111866255411E-2</v>
      </c>
      <c r="AM17" s="108">
        <f>MIN((Database!AL17+('Bicycle Parking Invest. Input'!$C$8-2008)*((Database!AN17-Database!AL17)/12))*100,AP17*100)</f>
        <v>4.1018815821673886</v>
      </c>
      <c r="AN17" s="105">
        <f t="shared" si="0"/>
        <v>6.1528223732510823E-2</v>
      </c>
      <c r="AP17" s="105">
        <f t="shared" si="1"/>
        <v>8.4195848487075578E-2</v>
      </c>
      <c r="AR17" s="311">
        <v>0.13</v>
      </c>
      <c r="AS17" s="311">
        <v>0.02</v>
      </c>
      <c r="AT17" s="311">
        <v>0.11</v>
      </c>
      <c r="AU17" s="311">
        <v>0.44</v>
      </c>
      <c r="AV17" s="311">
        <v>0.09</v>
      </c>
      <c r="AW17" s="311">
        <v>0.21000000000000008</v>
      </c>
      <c r="AY17" s="308">
        <v>0.51</v>
      </c>
      <c r="AZ17" s="308">
        <v>0.13</v>
      </c>
      <c r="BA17" s="308">
        <v>0.41</v>
      </c>
      <c r="BB17" s="308">
        <v>0.82</v>
      </c>
      <c r="BC17" s="308">
        <v>0.46</v>
      </c>
      <c r="BD17" s="308">
        <v>0.66999999999999993</v>
      </c>
      <c r="BF17" s="84">
        <v>0.14000000000000001</v>
      </c>
      <c r="BG17" s="84" t="s">
        <v>331</v>
      </c>
      <c r="BH17" s="84" t="s">
        <v>331</v>
      </c>
      <c r="BI17" s="84" t="s">
        <v>331</v>
      </c>
      <c r="BJ17" s="84" t="s">
        <v>331</v>
      </c>
      <c r="BK17" s="84" t="s">
        <v>331</v>
      </c>
      <c r="BM17" s="213">
        <v>6</v>
      </c>
      <c r="BN17" s="213">
        <v>4</v>
      </c>
      <c r="BO17" s="209">
        <v>5</v>
      </c>
      <c r="BP17" s="209">
        <v>1</v>
      </c>
      <c r="BQ17" s="209">
        <v>3</v>
      </c>
      <c r="BR17" s="209">
        <v>2</v>
      </c>
      <c r="BT17" s="230">
        <v>2012</v>
      </c>
      <c r="BU17" s="307">
        <f>ROUND(IF(2012&lt;2020,Database!Z17+(2012-2008)*((Database!AA17-Database!Z17)/12),Database!AA17+(2012-2020)*((Database!AB17-Database!AA17)/10)),0)</f>
        <v>4759</v>
      </c>
      <c r="BX17" s="213"/>
    </row>
    <row r="18" spans="1:76" x14ac:dyDescent="0.25">
      <c r="A18" s="45" t="s">
        <v>47</v>
      </c>
      <c r="B18" s="63">
        <f>ROUND(IF('Bicycle Parking Invest. Input'!$C$8&lt;2020,Database!Z18+('Bicycle Parking Invest. Input'!$C$8-2008)*((Database!AA18-Database!Z18)/12),Database!AA18+('Bicycle Parking Invest. Input'!$C$8-2020)*((Database!AB18-Database!AA18)/10)),0)</f>
        <v>5273</v>
      </c>
      <c r="C18" s="63">
        <f>ROUND(IF('Bicycle Parking Invest. Input'!$C$8&lt;2020,Database!AD18+('Bicycle Parking Invest. Input'!$C$8-2008)*((Database!AE18-Database!AD18)/12),Database!AE18+('Bicycle Parking Invest. Input'!$C$8-2020)*((Database!AF18-Database!AE18)/10)),0)</f>
        <v>568</v>
      </c>
      <c r="D18" s="47">
        <f>ROUND(96.9465648854962,0)</f>
        <v>97</v>
      </c>
      <c r="E18" s="47"/>
      <c r="F18" s="49">
        <v>94</v>
      </c>
      <c r="G18" s="49">
        <v>0</v>
      </c>
      <c r="H18" s="49">
        <v>0</v>
      </c>
      <c r="I18" s="49">
        <v>48</v>
      </c>
      <c r="J18" s="49">
        <v>0</v>
      </c>
      <c r="K18" s="49">
        <v>0</v>
      </c>
      <c r="L18" s="47">
        <f>ROUND(1.54609929078014,2)</f>
        <v>1.55</v>
      </c>
      <c r="M18" s="47">
        <f>ROUND(1.56737588652482,2)</f>
        <v>1.57</v>
      </c>
      <c r="N18" s="63">
        <f>ROUND(IF('Bicycle Parking Invest. Input'!$C$8&lt;2020,Database!AH18+('Bicycle Parking Invest. Input'!$C$8-2008)*((Database!AI18-Database!AH18)/12),Database!AI18+('Bicycle Parking Invest. Input'!$C$8-2020)*((Database!AJ18-Database!AI18)/10)),-2)</f>
        <v>4500</v>
      </c>
      <c r="O18" s="80">
        <v>3</v>
      </c>
      <c r="P18" s="82"/>
      <c r="Q18" s="180">
        <v>3.1851851851851851</v>
      </c>
      <c r="R18" s="180">
        <v>4.623655913978495</v>
      </c>
      <c r="S18" s="180">
        <v>3.896551724137931</v>
      </c>
      <c r="T18" s="180">
        <v>2.0086206896551726</v>
      </c>
      <c r="U18" s="180">
        <v>3.1847826086956523</v>
      </c>
      <c r="V18" s="180">
        <v>2.3490566037735849</v>
      </c>
      <c r="X18" s="82"/>
      <c r="Z18" s="64">
        <v>5188.5029522850336</v>
      </c>
      <c r="AA18" s="56">
        <v>5440.8921856360894</v>
      </c>
      <c r="AB18" s="56">
        <v>5630.733169848997</v>
      </c>
      <c r="AC18" s="57"/>
      <c r="AD18" s="60">
        <v>568</v>
      </c>
      <c r="AE18" s="60">
        <v>568</v>
      </c>
      <c r="AF18" s="60">
        <v>568</v>
      </c>
      <c r="AG18" s="57"/>
      <c r="AH18" s="59">
        <v>4422.6000000000031</v>
      </c>
      <c r="AI18" s="59">
        <v>4511.985354647687</v>
      </c>
      <c r="AJ18" s="59">
        <v>4589.6709245247039</v>
      </c>
      <c r="AL18" s="106">
        <v>6.4509726287173053E-2</v>
      </c>
      <c r="AM18" s="108">
        <f>MIN((Database!AL18+('Bicycle Parking Invest. Input'!$C$8-2008)*((Database!AN18-Database!AL18)/12))*100,AP18*100)</f>
        <v>8.6012968382897412</v>
      </c>
      <c r="AN18" s="105">
        <f t="shared" si="0"/>
        <v>0.12901945257434611</v>
      </c>
      <c r="AP18" s="105">
        <f t="shared" si="1"/>
        <v>0.12760561445254343</v>
      </c>
      <c r="AR18" s="311">
        <v>0.1</v>
      </c>
      <c r="AS18" s="311">
        <v>0.04</v>
      </c>
      <c r="AT18" s="311">
        <v>0.05</v>
      </c>
      <c r="AU18" s="311">
        <v>0.51</v>
      </c>
      <c r="AV18" s="311">
        <v>0.05</v>
      </c>
      <c r="AW18" s="311">
        <v>0.25</v>
      </c>
      <c r="AY18" s="308">
        <v>0.49</v>
      </c>
      <c r="AZ18" s="308">
        <v>0.21</v>
      </c>
      <c r="BA18" s="308">
        <v>0.3</v>
      </c>
      <c r="BB18" s="308">
        <v>0.8</v>
      </c>
      <c r="BC18" s="308">
        <v>0.52</v>
      </c>
      <c r="BD18" s="308">
        <v>0.67999999999999972</v>
      </c>
      <c r="BF18" s="84">
        <v>0.4</v>
      </c>
      <c r="BG18" s="84" t="s">
        <v>331</v>
      </c>
      <c r="BH18" s="84" t="s">
        <v>331</v>
      </c>
      <c r="BI18" s="84">
        <v>0.73</v>
      </c>
      <c r="BJ18" s="84" t="s">
        <v>331</v>
      </c>
      <c r="BK18" s="84" t="s">
        <v>331</v>
      </c>
      <c r="BM18" s="213">
        <v>6</v>
      </c>
      <c r="BN18" s="213">
        <v>4</v>
      </c>
      <c r="BO18" s="209">
        <v>5</v>
      </c>
      <c r="BP18" s="209">
        <v>1</v>
      </c>
      <c r="BQ18" s="209">
        <v>3</v>
      </c>
      <c r="BR18" s="209">
        <v>2</v>
      </c>
      <c r="BT18" s="230">
        <v>2012</v>
      </c>
      <c r="BU18" s="307">
        <f>ROUND(IF(2012&lt;2020,Database!Z18+(2012-2008)*((Database!AA18-Database!Z18)/12),Database!AA18+(2012-2020)*((Database!AB18-Database!AA18)/10)),0)</f>
        <v>5273</v>
      </c>
      <c r="BX18" s="213"/>
    </row>
    <row r="19" spans="1:76" x14ac:dyDescent="0.25">
      <c r="A19" s="45" t="s">
        <v>85</v>
      </c>
      <c r="B19" s="63">
        <f>ROUND(IF('Bicycle Parking Invest. Input'!$C$8&lt;2020,Database!Z19+('Bicycle Parking Invest. Input'!$C$8-2008)*((Database!AA19-Database!Z19)/12),Database!AA19+('Bicycle Parking Invest. Input'!$C$8-2020)*((Database!AB19-Database!AA19)/10)),0)</f>
        <v>3818</v>
      </c>
      <c r="C19" s="63">
        <f>ROUND(IF('Bicycle Parking Invest. Input'!$C$8&lt;2020,Database!AD19+('Bicycle Parking Invest. Input'!$C$8-2008)*((Database!AE19-Database!AD19)/12),Database!AE19+('Bicycle Parking Invest. Input'!$C$8-2020)*((Database!AF19-Database!AE19)/10)),0)</f>
        <v>0</v>
      </c>
      <c r="D19" s="47">
        <f>ROUND(77.1062271062271,0)</f>
        <v>77</v>
      </c>
      <c r="E19" s="47"/>
      <c r="F19" s="49">
        <v>0</v>
      </c>
      <c r="G19" s="49">
        <v>0</v>
      </c>
      <c r="H19" s="49">
        <v>0</v>
      </c>
      <c r="I19" s="49">
        <v>0</v>
      </c>
      <c r="J19" s="49">
        <v>96</v>
      </c>
      <c r="K19" s="49">
        <v>0</v>
      </c>
      <c r="L19" s="47">
        <f>ROUND(1.26,2)</f>
        <v>1.26</v>
      </c>
      <c r="M19" s="47">
        <f>ROUND(1.47422680412371,2)</f>
        <v>1.47</v>
      </c>
      <c r="N19" s="63">
        <f>ROUND(IF('Bicycle Parking Invest. Input'!$C$8&lt;2020,Database!AH19+('Bicycle Parking Invest. Input'!$C$8-2008)*((Database!AI19-Database!AH19)/12),Database!AI19+('Bicycle Parking Invest. Input'!$C$8-2020)*((Database!AJ19-Database!AI19)/10)),-2)</f>
        <v>34100</v>
      </c>
      <c r="O19" s="80">
        <v>1</v>
      </c>
      <c r="P19" s="82"/>
      <c r="Q19" s="180">
        <v>3.4155844155844157</v>
      </c>
      <c r="R19" s="180">
        <v>4.9142857142857146</v>
      </c>
      <c r="S19" s="180">
        <v>3.4029850746268657</v>
      </c>
      <c r="T19" s="180">
        <v>3.084507042253521</v>
      </c>
      <c r="U19" s="180">
        <v>2.4268292682926829</v>
      </c>
      <c r="V19" s="180">
        <v>2.1927710843373496</v>
      </c>
      <c r="W19" s="82"/>
      <c r="X19" s="82"/>
      <c r="Z19" s="64">
        <v>3398.0249999999996</v>
      </c>
      <c r="AA19" s="56">
        <v>4658.375</v>
      </c>
      <c r="AB19" s="56">
        <v>6387.625</v>
      </c>
      <c r="AC19" s="57"/>
      <c r="AD19" s="60">
        <v>0</v>
      </c>
      <c r="AE19" s="60">
        <v>0</v>
      </c>
      <c r="AF19" s="60">
        <v>0</v>
      </c>
      <c r="AG19" s="57"/>
      <c r="AH19" s="59">
        <v>33034.999999999964</v>
      </c>
      <c r="AI19" s="59">
        <v>36354.395500625738</v>
      </c>
      <c r="AJ19" s="59">
        <v>38404.437688143094</v>
      </c>
      <c r="AL19" s="106">
        <v>1.6575890818266971E-2</v>
      </c>
      <c r="AM19" s="108">
        <f>MIN((Database!AL19+('Bicycle Parking Invest. Input'!$C$8-2008)*((Database!AN19-Database!AL19)/12))*100,AP19*100)</f>
        <v>2.2101187757689296</v>
      </c>
      <c r="AN19" s="105">
        <f t="shared" si="0"/>
        <v>3.3151781636533942E-2</v>
      </c>
      <c r="AP19" s="105">
        <f t="shared" si="1"/>
        <v>8.6724313927912008E-2</v>
      </c>
      <c r="AR19" s="311">
        <v>0.13</v>
      </c>
      <c r="AS19" s="311">
        <v>0.02</v>
      </c>
      <c r="AT19" s="311">
        <v>0.13</v>
      </c>
      <c r="AU19" s="311">
        <v>0.13</v>
      </c>
      <c r="AV19" s="311">
        <v>0.22</v>
      </c>
      <c r="AW19" s="311">
        <v>0.37</v>
      </c>
      <c r="AY19" s="308">
        <v>0.44</v>
      </c>
      <c r="AZ19" s="308">
        <v>0.14000000000000001</v>
      </c>
      <c r="BA19" s="308">
        <v>0.37</v>
      </c>
      <c r="BB19" s="308">
        <v>0.51</v>
      </c>
      <c r="BC19" s="308">
        <v>0.78</v>
      </c>
      <c r="BD19" s="308">
        <v>0.75999999999999979</v>
      </c>
      <c r="BF19" s="84" t="s">
        <v>331</v>
      </c>
      <c r="BG19" s="84" t="s">
        <v>331</v>
      </c>
      <c r="BH19" s="84" t="s">
        <v>331</v>
      </c>
      <c r="BI19" s="84" t="s">
        <v>331</v>
      </c>
      <c r="BJ19" s="84">
        <v>0.5</v>
      </c>
      <c r="BK19" s="84" t="s">
        <v>331</v>
      </c>
      <c r="BM19" s="213">
        <v>6</v>
      </c>
      <c r="BN19" s="213">
        <v>5</v>
      </c>
      <c r="BO19" s="209">
        <v>4</v>
      </c>
      <c r="BP19" s="209">
        <v>3</v>
      </c>
      <c r="BQ19" s="209">
        <v>2</v>
      </c>
      <c r="BR19" s="209">
        <v>1</v>
      </c>
      <c r="BT19" s="230">
        <v>2012</v>
      </c>
      <c r="BU19" s="307">
        <f>ROUND(IF(2012&lt;2020,Database!Z19+(2012-2008)*((Database!AA19-Database!Z19)/12),Database!AA19+(2012-2020)*((Database!AB19-Database!AA19)/10)),0)</f>
        <v>3818</v>
      </c>
      <c r="BX19" s="213"/>
    </row>
    <row r="20" spans="1:76" x14ac:dyDescent="0.25">
      <c r="A20" s="45" t="s">
        <v>86</v>
      </c>
      <c r="B20" s="63">
        <f>ROUND(IF('Bicycle Parking Invest. Input'!$C$8&lt;2020,Database!Z20+('Bicycle Parking Invest. Input'!$C$8-2008)*((Database!AA20-Database!Z20)/12),Database!AA20+('Bicycle Parking Invest. Input'!$C$8-2020)*((Database!AB20-Database!AA20)/10)),0)</f>
        <v>3685</v>
      </c>
      <c r="C20" s="63">
        <f>ROUND(IF('Bicycle Parking Invest. Input'!$C$8&lt;2020,Database!AD20+('Bicycle Parking Invest. Input'!$C$8-2008)*((Database!AE20-Database!AD20)/12),Database!AE20+('Bicycle Parking Invest. Input'!$C$8-2020)*((Database!AF20-Database!AE20)/10)),0)</f>
        <v>1506</v>
      </c>
      <c r="D20" s="47">
        <f>ROUND(97.265625,0)</f>
        <v>97</v>
      </c>
      <c r="E20" s="47"/>
      <c r="F20" s="49">
        <v>121</v>
      </c>
      <c r="G20" s="49">
        <v>0</v>
      </c>
      <c r="H20" s="49">
        <v>0</v>
      </c>
      <c r="I20" s="49">
        <v>0</v>
      </c>
      <c r="J20" s="49">
        <v>0</v>
      </c>
      <c r="K20" s="49">
        <v>0</v>
      </c>
      <c r="L20" s="47">
        <f>ROUND(0.723404255319149,2)</f>
        <v>0.72</v>
      </c>
      <c r="M20" s="47">
        <f>ROUND(1.24,2)</f>
        <v>1.24</v>
      </c>
      <c r="N20" s="63">
        <f>ROUND(IF('Bicycle Parking Invest. Input'!$C$8&lt;2020,Database!AH20+('Bicycle Parking Invest. Input'!$C$8-2008)*((Database!AI20-Database!AH20)/12),Database!AI20+('Bicycle Parking Invest. Input'!$C$8-2020)*((Database!AJ20-Database!AI20)/10)),-2)</f>
        <v>7400</v>
      </c>
      <c r="O20" s="80">
        <v>4</v>
      </c>
      <c r="P20" s="82"/>
      <c r="Q20" s="180">
        <v>3.2285714285714286</v>
      </c>
      <c r="R20" s="180">
        <v>4.875</v>
      </c>
      <c r="S20" s="180">
        <v>2.9189189189189189</v>
      </c>
      <c r="T20" s="180">
        <v>2.7941176470588234</v>
      </c>
      <c r="U20" s="180">
        <v>2.6176470588235294</v>
      </c>
      <c r="V20" s="180">
        <v>2.641025641025641</v>
      </c>
      <c r="W20" s="82"/>
      <c r="X20" s="82"/>
      <c r="Z20" s="64">
        <v>3368.9249999999997</v>
      </c>
      <c r="AA20" s="56">
        <v>4318.3333333333339</v>
      </c>
      <c r="AB20" s="56">
        <v>5612</v>
      </c>
      <c r="AC20" s="57"/>
      <c r="AD20" s="60">
        <v>1506</v>
      </c>
      <c r="AE20" s="60">
        <v>1506</v>
      </c>
      <c r="AF20" s="60">
        <v>1506</v>
      </c>
      <c r="AG20" s="57"/>
      <c r="AH20" s="59">
        <v>7298.4000000000015</v>
      </c>
      <c r="AI20" s="59">
        <v>7507.7390137066332</v>
      </c>
      <c r="AJ20" s="59">
        <v>8037.3970036982791</v>
      </c>
      <c r="AL20" s="106">
        <v>1.6219568789381203E-2</v>
      </c>
      <c r="AM20" s="108">
        <f>MIN((Database!AL20+('Bicycle Parking Invest. Input'!$C$8-2008)*((Database!AN20-Database!AL20)/12))*100,AP20*100)</f>
        <v>2.1626091719174938</v>
      </c>
      <c r="AN20" s="105">
        <f t="shared" si="0"/>
        <v>3.2439137578762406E-2</v>
      </c>
      <c r="AP20" s="105">
        <f t="shared" si="1"/>
        <v>8.4195848487075578E-2</v>
      </c>
      <c r="AR20" s="311">
        <v>0.19</v>
      </c>
      <c r="AS20" s="311">
        <v>0.04</v>
      </c>
      <c r="AT20" s="311">
        <v>0.26</v>
      </c>
      <c r="AU20" s="311">
        <v>0.15</v>
      </c>
      <c r="AV20" s="311">
        <v>0.13</v>
      </c>
      <c r="AW20" s="311">
        <v>0.22999999999999998</v>
      </c>
      <c r="AY20" s="308">
        <v>0.4</v>
      </c>
      <c r="AZ20" s="308">
        <v>0.14000000000000001</v>
      </c>
      <c r="BA20" s="308">
        <v>0.52</v>
      </c>
      <c r="BB20" s="308">
        <v>0.6</v>
      </c>
      <c r="BC20" s="308">
        <v>0.67</v>
      </c>
      <c r="BD20" s="308">
        <v>0.66999999999999993</v>
      </c>
      <c r="BF20" s="84">
        <v>0.34</v>
      </c>
      <c r="BG20" s="84" t="s">
        <v>331</v>
      </c>
      <c r="BH20" s="84" t="s">
        <v>331</v>
      </c>
      <c r="BI20" s="84" t="s">
        <v>331</v>
      </c>
      <c r="BJ20" s="84" t="s">
        <v>331</v>
      </c>
      <c r="BK20" s="84" t="s">
        <v>331</v>
      </c>
      <c r="BM20" s="213">
        <v>6</v>
      </c>
      <c r="BN20" s="213">
        <v>5</v>
      </c>
      <c r="BO20" s="209">
        <v>4</v>
      </c>
      <c r="BP20" s="209">
        <v>3</v>
      </c>
      <c r="BQ20" s="209">
        <v>1</v>
      </c>
      <c r="BR20" s="209">
        <v>2</v>
      </c>
      <c r="BT20" s="230">
        <v>2012</v>
      </c>
      <c r="BU20" s="307">
        <f>ROUND(IF(2012&lt;2020,Database!Z20+(2012-2008)*((Database!AA20-Database!Z20)/12),Database!AA20+(2012-2020)*((Database!AB20-Database!AA20)/10)),0)</f>
        <v>3685</v>
      </c>
      <c r="BX20" s="213"/>
    </row>
    <row r="21" spans="1:76" x14ac:dyDescent="0.25">
      <c r="A21" s="45" t="s">
        <v>87</v>
      </c>
      <c r="B21" s="63">
        <f>ROUND(IF('Bicycle Parking Invest. Input'!$C$8&lt;2020,Database!Z21+('Bicycle Parking Invest. Input'!$C$8-2008)*((Database!AA21-Database!Z21)/12),Database!AA21+('Bicycle Parking Invest. Input'!$C$8-2020)*((Database!AB21-Database!AA21)/10)),0)</f>
        <v>9639</v>
      </c>
      <c r="C21" s="63">
        <f>ROUND(IF('Bicycle Parking Invest. Input'!$C$8&lt;2020,Database!AD21+('Bicycle Parking Invest. Input'!$C$8-2008)*((Database!AE21-Database!AD21)/12),Database!AE21+('Bicycle Parking Invest. Input'!$C$8-2020)*((Database!AF21-Database!AE21)/10)),0)</f>
        <v>518</v>
      </c>
      <c r="D21" s="47">
        <f>ROUND(92.1182266009852,0)</f>
        <v>92</v>
      </c>
      <c r="E21" s="47"/>
      <c r="F21" s="49">
        <v>49</v>
      </c>
      <c r="G21" s="49">
        <v>0</v>
      </c>
      <c r="H21" s="49">
        <v>0</v>
      </c>
      <c r="I21" s="49">
        <v>0</v>
      </c>
      <c r="J21" s="49">
        <v>0</v>
      </c>
      <c r="K21" s="49">
        <v>200</v>
      </c>
      <c r="L21" s="47">
        <f>ROUND(1.85454545454545,2)</f>
        <v>1.85</v>
      </c>
      <c r="M21" s="47">
        <f>ROUND(1.85087719298246,2)</f>
        <v>1.85</v>
      </c>
      <c r="N21" s="63">
        <f>ROUND(IF('Bicycle Parking Invest. Input'!$C$8&lt;2020,Database!AH21+('Bicycle Parking Invest. Input'!$C$8-2008)*((Database!AI21-Database!AH21)/12),Database!AI21+('Bicycle Parking Invest. Input'!$C$8-2020)*((Database!AJ21-Database!AI21)/10)),-2)</f>
        <v>7600</v>
      </c>
      <c r="O21" s="80">
        <v>3</v>
      </c>
      <c r="P21" s="82"/>
      <c r="Q21" s="180">
        <v>3.0864197530864197</v>
      </c>
      <c r="R21" s="180">
        <v>4.9411764705882355</v>
      </c>
      <c r="S21" s="180">
        <v>3.6461538461538461</v>
      </c>
      <c r="T21" s="180">
        <v>2.8333333333333335</v>
      </c>
      <c r="U21" s="180">
        <v>3.0289855072463769</v>
      </c>
      <c r="V21" s="180">
        <v>1.6836734693877551</v>
      </c>
      <c r="W21" s="82"/>
      <c r="X21" s="82"/>
      <c r="Z21" s="64">
        <v>9355.2000000000007</v>
      </c>
      <c r="AA21" s="56">
        <v>10206.583333333334</v>
      </c>
      <c r="AB21" s="56">
        <v>11049.75</v>
      </c>
      <c r="AC21" s="57"/>
      <c r="AD21" s="60">
        <v>518</v>
      </c>
      <c r="AE21" s="60">
        <v>518</v>
      </c>
      <c r="AF21" s="60">
        <v>518</v>
      </c>
      <c r="AG21" s="57"/>
      <c r="AH21" s="59">
        <v>7539.5999999999858</v>
      </c>
      <c r="AI21" s="59">
        <v>7834.7570587699738</v>
      </c>
      <c r="AJ21" s="59">
        <v>8149.2615588142826</v>
      </c>
      <c r="AL21" s="106">
        <v>9.7605614452543427E-2</v>
      </c>
      <c r="AM21" s="108">
        <f>MIN((Database!AL21+('Bicycle Parking Invest. Input'!$C$8-2008)*((Database!AN21-Database!AL21)/12))*100,AP21*100)</f>
        <v>12.760561445254343</v>
      </c>
      <c r="AN21" s="105">
        <f t="shared" si="0"/>
        <v>0.19521122890508685</v>
      </c>
      <c r="AP21" s="105">
        <f t="shared" si="1"/>
        <v>0.12760561445254343</v>
      </c>
      <c r="AR21" s="311">
        <v>0.13</v>
      </c>
      <c r="AS21" s="311">
        <v>0.03</v>
      </c>
      <c r="AT21" s="311">
        <v>0.06</v>
      </c>
      <c r="AU21" s="311">
        <v>0.11</v>
      </c>
      <c r="AV21" s="311">
        <v>0.08</v>
      </c>
      <c r="AW21" s="311">
        <v>0.59</v>
      </c>
      <c r="AY21" s="308">
        <v>0.56999999999999995</v>
      </c>
      <c r="AZ21" s="308">
        <v>0.13</v>
      </c>
      <c r="BA21" s="308">
        <v>0.33</v>
      </c>
      <c r="BB21" s="308">
        <v>0.54</v>
      </c>
      <c r="BC21" s="308">
        <v>0.48</v>
      </c>
      <c r="BD21" s="308">
        <v>0.95000000000000018</v>
      </c>
      <c r="BF21" s="84">
        <v>0.67</v>
      </c>
      <c r="BG21" s="84" t="s">
        <v>331</v>
      </c>
      <c r="BH21" s="84" t="s">
        <v>331</v>
      </c>
      <c r="BI21" s="84" t="s">
        <v>331</v>
      </c>
      <c r="BJ21" s="84" t="s">
        <v>331</v>
      </c>
      <c r="BK21" s="84">
        <v>0.55000000000000004</v>
      </c>
      <c r="BM21" s="213">
        <v>6</v>
      </c>
      <c r="BN21" s="213">
        <v>4</v>
      </c>
      <c r="BO21" s="209">
        <v>5</v>
      </c>
      <c r="BP21" s="209">
        <v>2</v>
      </c>
      <c r="BQ21" s="209">
        <v>3</v>
      </c>
      <c r="BR21" s="209">
        <v>1</v>
      </c>
      <c r="BT21" s="230">
        <v>2012</v>
      </c>
      <c r="BU21" s="307">
        <f>ROUND(IF(2012&lt;2020,Database!Z21+(2012-2008)*((Database!AA21-Database!Z21)/12),Database!AA21+(2012-2020)*((Database!AB21-Database!AA21)/10)),0)</f>
        <v>9639</v>
      </c>
      <c r="BX21" s="213"/>
    </row>
    <row r="22" spans="1:76" x14ac:dyDescent="0.25">
      <c r="A22" s="45" t="s">
        <v>88</v>
      </c>
      <c r="B22" s="63">
        <f>ROUND(IF('Bicycle Parking Invest. Input'!$C$8&lt;2020,Database!Z22+('Bicycle Parking Invest. Input'!$C$8-2008)*((Database!AA22-Database!Z22)/12),Database!AA22+('Bicycle Parking Invest. Input'!$C$8-2020)*((Database!AB22-Database!AA22)/10)),0)</f>
        <v>8398</v>
      </c>
      <c r="C22" s="63">
        <f>ROUND(IF('Bicycle Parking Invest. Input'!$C$8&lt;2020,Database!AD22+('Bicycle Parking Invest. Input'!$C$8-2008)*((Database!AE22-Database!AD22)/12),Database!AE22+('Bicycle Parking Invest. Input'!$C$8-2020)*((Database!AF22-Database!AE22)/10)),0)</f>
        <v>0</v>
      </c>
      <c r="D22" s="47">
        <f>ROUND(89.8876404494382,0)</f>
        <v>90</v>
      </c>
      <c r="E22" s="47"/>
      <c r="F22" s="49">
        <v>28</v>
      </c>
      <c r="G22" s="49">
        <v>21</v>
      </c>
      <c r="H22" s="49">
        <v>0</v>
      </c>
      <c r="I22" s="49">
        <v>0</v>
      </c>
      <c r="J22" s="49">
        <v>0</v>
      </c>
      <c r="K22" s="49">
        <v>0</v>
      </c>
      <c r="L22" s="47">
        <f>ROUND(1.13636363636364,2)</f>
        <v>1.1399999999999999</v>
      </c>
      <c r="M22" s="47">
        <f>ROUND(1.60869565217391,2)</f>
        <v>1.61</v>
      </c>
      <c r="N22" s="63">
        <f>ROUND(IF('Bicycle Parking Invest. Input'!$C$8&lt;2020,Database!AH22+('Bicycle Parking Invest. Input'!$C$8-2008)*((Database!AI22-Database!AH22)/12),Database!AI22+('Bicycle Parking Invest. Input'!$C$8-2020)*((Database!AJ22-Database!AI22)/10)),-2)</f>
        <v>8400</v>
      </c>
      <c r="O22" s="80">
        <v>2</v>
      </c>
      <c r="P22" s="82"/>
      <c r="Q22" s="180">
        <v>2.2093023255813953</v>
      </c>
      <c r="R22" s="180">
        <v>4.387096774193548</v>
      </c>
      <c r="S22" s="180">
        <v>3.48</v>
      </c>
      <c r="T22" s="180">
        <v>3.8333333333333335</v>
      </c>
      <c r="U22" s="180">
        <v>2.7407407407407409</v>
      </c>
      <c r="V22" s="180">
        <v>2.0588235294117645</v>
      </c>
      <c r="W22" s="82"/>
      <c r="X22" s="82"/>
      <c r="Z22" s="64">
        <v>8390.82</v>
      </c>
      <c r="AA22" s="56">
        <v>8412.2999999999993</v>
      </c>
      <c r="AB22" s="56">
        <v>8430.2000000000007</v>
      </c>
      <c r="AC22" s="57"/>
      <c r="AD22" s="60">
        <v>0</v>
      </c>
      <c r="AE22" s="60">
        <v>0</v>
      </c>
      <c r="AF22" s="60">
        <v>0</v>
      </c>
      <c r="AG22" s="57"/>
      <c r="AH22" s="59">
        <v>8037.3999999999905</v>
      </c>
      <c r="AI22" s="59">
        <v>9005.8669889288958</v>
      </c>
      <c r="AJ22" s="59">
        <v>9419.2692080939487</v>
      </c>
      <c r="AL22" s="106">
        <v>2.0380180886242771E-2</v>
      </c>
      <c r="AM22" s="108">
        <f>MIN((Database!AL22+('Bicycle Parking Invest. Input'!$C$8-2008)*((Database!AN22-Database!AL22)/12))*100,AP22*100)</f>
        <v>2.7173574514990362</v>
      </c>
      <c r="AN22" s="105">
        <f t="shared" si="0"/>
        <v>4.0760361772485543E-2</v>
      </c>
      <c r="AP22" s="105">
        <f t="shared" si="1"/>
        <v>0.14254704745083363</v>
      </c>
      <c r="AR22" s="311">
        <v>0.43</v>
      </c>
      <c r="AS22" s="311">
        <v>7.0000000000000007E-2</v>
      </c>
      <c r="AT22" s="311">
        <v>0.11</v>
      </c>
      <c r="AU22" s="311">
        <v>7.0000000000000007E-2</v>
      </c>
      <c r="AV22" s="311">
        <v>7.0000000000000007E-2</v>
      </c>
      <c r="AW22" s="311">
        <v>0.25</v>
      </c>
      <c r="AY22" s="308">
        <v>0.86</v>
      </c>
      <c r="AZ22" s="308">
        <v>0.28999999999999998</v>
      </c>
      <c r="BA22" s="308">
        <v>0.28999999999999998</v>
      </c>
      <c r="BB22" s="308">
        <v>0.21</v>
      </c>
      <c r="BC22" s="308">
        <v>0.56999999999999995</v>
      </c>
      <c r="BD22" s="308">
        <v>0.78000000000000025</v>
      </c>
      <c r="BF22" s="84">
        <v>0.25</v>
      </c>
      <c r="BG22" s="84">
        <v>0.81</v>
      </c>
      <c r="BH22" s="84" t="s">
        <v>331</v>
      </c>
      <c r="BI22" s="84" t="s">
        <v>331</v>
      </c>
      <c r="BJ22" s="84" t="s">
        <v>331</v>
      </c>
      <c r="BK22" s="84" t="s">
        <v>331</v>
      </c>
      <c r="BM22" s="213">
        <v>6</v>
      </c>
      <c r="BN22" s="213">
        <v>2</v>
      </c>
      <c r="BO22" s="209">
        <v>4</v>
      </c>
      <c r="BP22" s="209">
        <v>5</v>
      </c>
      <c r="BQ22" s="209">
        <v>3</v>
      </c>
      <c r="BR22" s="209">
        <v>1</v>
      </c>
      <c r="BT22" s="230">
        <v>2012</v>
      </c>
      <c r="BU22" s="307">
        <f>ROUND(IF(2012&lt;2020,Database!Z22+(2012-2008)*((Database!AA22-Database!Z22)/12),Database!AA22+(2012-2020)*((Database!AB22-Database!AA22)/10)),0)</f>
        <v>8398</v>
      </c>
      <c r="BX22" s="213"/>
    </row>
    <row r="23" spans="1:76" x14ac:dyDescent="0.25">
      <c r="A23" s="45" t="s">
        <v>89</v>
      </c>
      <c r="B23" s="63">
        <f>ROUND(IF('Bicycle Parking Invest. Input'!$C$8&lt;2020,Database!Z23+('Bicycle Parking Invest. Input'!$C$8-2008)*((Database!AA23-Database!Z23)/12),Database!AA23+('Bicycle Parking Invest. Input'!$C$8-2020)*((Database!AB23-Database!AA23)/10)),0)</f>
        <v>4504</v>
      </c>
      <c r="C23" s="63">
        <f>ROUND(IF('Bicycle Parking Invest. Input'!$C$8&lt;2020,Database!AD23+('Bicycle Parking Invest. Input'!$C$8-2008)*((Database!AE23-Database!AD23)/12),Database!AE23+('Bicycle Parking Invest. Input'!$C$8-2020)*((Database!AF23-Database!AE23)/10)),0)</f>
        <v>1354</v>
      </c>
      <c r="D23" s="47">
        <f>ROUND(97.265625,0)</f>
        <v>97</v>
      </c>
      <c r="E23" s="47"/>
      <c r="F23" s="49">
        <v>70</v>
      </c>
      <c r="G23" s="49">
        <v>0</v>
      </c>
      <c r="H23" s="49">
        <v>0</v>
      </c>
      <c r="I23" s="49">
        <v>0</v>
      </c>
      <c r="J23" s="49">
        <v>0</v>
      </c>
      <c r="K23" s="49">
        <v>0</v>
      </c>
      <c r="L23" s="47">
        <f>ROUND(0.8,2)</f>
        <v>0.8</v>
      </c>
      <c r="M23" s="47">
        <f>ROUND(0.777777777777778,2)</f>
        <v>0.78</v>
      </c>
      <c r="N23" s="63">
        <f>ROUND(IF('Bicycle Parking Invest. Input'!$C$8&lt;2020,Database!AH23+('Bicycle Parking Invest. Input'!$C$8-2008)*((Database!AI23-Database!AH23)/12),Database!AI23+('Bicycle Parking Invest. Input'!$C$8-2020)*((Database!AJ23-Database!AI23)/10)),-2)</f>
        <v>5000</v>
      </c>
      <c r="O23" s="80">
        <v>3</v>
      </c>
      <c r="P23" s="82"/>
      <c r="Q23" s="180">
        <v>3.6</v>
      </c>
      <c r="R23" s="180">
        <v>5.75</v>
      </c>
      <c r="S23" s="180">
        <v>1.2</v>
      </c>
      <c r="T23" s="180">
        <v>3</v>
      </c>
      <c r="U23" s="180">
        <v>3.4</v>
      </c>
      <c r="V23" s="180">
        <v>2.2857142857142856</v>
      </c>
      <c r="W23" s="82"/>
      <c r="X23" s="82"/>
      <c r="Z23" s="64">
        <v>4294.95</v>
      </c>
      <c r="AA23" s="56">
        <v>4921.9166666666661</v>
      </c>
      <c r="AB23" s="56">
        <v>5379.25</v>
      </c>
      <c r="AC23" s="57"/>
      <c r="AD23" s="60">
        <v>1354</v>
      </c>
      <c r="AE23" s="60">
        <v>1354</v>
      </c>
      <c r="AF23" s="60">
        <v>1354</v>
      </c>
      <c r="AG23" s="57"/>
      <c r="AH23" s="59">
        <v>4924.6000000000022</v>
      </c>
      <c r="AI23" s="59">
        <v>5230.892006395854</v>
      </c>
      <c r="AJ23" s="59">
        <v>5494.4096833988451</v>
      </c>
      <c r="AL23" s="106">
        <v>2.4943043540475468E-2</v>
      </c>
      <c r="AM23" s="108">
        <f>MIN((Database!AL23+('Bicycle Parking Invest. Input'!$C$8-2008)*((Database!AN23-Database!AL23)/12))*100,AP23*100)</f>
        <v>3.3257391387300625</v>
      </c>
      <c r="AN23" s="105">
        <f t="shared" si="0"/>
        <v>4.9886087080950936E-2</v>
      </c>
      <c r="AP23" s="105">
        <f t="shared" si="1"/>
        <v>0.12760561445254343</v>
      </c>
      <c r="AR23" s="311">
        <v>0</v>
      </c>
      <c r="AS23" s="311">
        <v>0</v>
      </c>
      <c r="AT23" s="311">
        <v>0.5</v>
      </c>
      <c r="AU23" s="311">
        <v>0.13</v>
      </c>
      <c r="AV23" s="311">
        <v>0</v>
      </c>
      <c r="AW23" s="311">
        <v>0.37</v>
      </c>
      <c r="AY23" s="308">
        <v>0.47</v>
      </c>
      <c r="AZ23" s="308">
        <v>0</v>
      </c>
      <c r="BA23" s="308">
        <v>0.79</v>
      </c>
      <c r="BB23" s="308">
        <v>0.32</v>
      </c>
      <c r="BC23" s="308">
        <v>0.47</v>
      </c>
      <c r="BD23" s="308">
        <v>0.95000000000000018</v>
      </c>
      <c r="BF23" s="84">
        <v>0.44</v>
      </c>
      <c r="BG23" s="84" t="s">
        <v>331</v>
      </c>
      <c r="BH23" s="84" t="s">
        <v>331</v>
      </c>
      <c r="BI23" s="84" t="s">
        <v>331</v>
      </c>
      <c r="BJ23" s="84" t="s">
        <v>331</v>
      </c>
      <c r="BK23" s="84" t="s">
        <v>331</v>
      </c>
      <c r="BM23" s="213">
        <v>6</v>
      </c>
      <c r="BN23" s="213">
        <v>5</v>
      </c>
      <c r="BO23" s="209">
        <v>1</v>
      </c>
      <c r="BP23" s="209">
        <v>3</v>
      </c>
      <c r="BQ23" s="209">
        <v>4</v>
      </c>
      <c r="BR23" s="209">
        <v>2</v>
      </c>
      <c r="BT23" s="230">
        <v>2012</v>
      </c>
      <c r="BU23" s="307">
        <f>ROUND(IF(2012&lt;2020,Database!Z23+(2012-2008)*((Database!AA23-Database!Z23)/12),Database!AA23+(2012-2020)*((Database!AB23-Database!AA23)/10)),0)</f>
        <v>4504</v>
      </c>
      <c r="BX23" s="213"/>
    </row>
    <row r="24" spans="1:76" x14ac:dyDescent="0.25">
      <c r="A24" s="45" t="s">
        <v>90</v>
      </c>
      <c r="B24" s="63">
        <f>ROUND(IF('Bicycle Parking Invest. Input'!$C$8&lt;2020,Database!Z24+('Bicycle Parking Invest. Input'!$C$8-2008)*((Database!AA24-Database!Z24)/12),Database!AA24+('Bicycle Parking Invest. Input'!$C$8-2020)*((Database!AB24-Database!AA24)/10)),0)</f>
        <v>1703</v>
      </c>
      <c r="C24" s="63">
        <f>ROUND(IF('Bicycle Parking Invest. Input'!$C$8&lt;2020,Database!AD24+('Bicycle Parking Invest. Input'!$C$8-2008)*((Database!AE24-Database!AD24)/12),Database!AE24+('Bicycle Parking Invest. Input'!$C$8-2020)*((Database!AF24-Database!AE24)/10)),0)</f>
        <v>1119</v>
      </c>
      <c r="D24" s="47">
        <f>ROUND(79.6703296703297,0)</f>
        <v>80</v>
      </c>
      <c r="E24" s="47"/>
      <c r="F24" s="49">
        <v>64</v>
      </c>
      <c r="G24" s="49">
        <v>0</v>
      </c>
      <c r="H24" s="49">
        <v>0</v>
      </c>
      <c r="I24" s="49">
        <v>0</v>
      </c>
      <c r="J24" s="49">
        <v>0</v>
      </c>
      <c r="K24" s="49">
        <v>0</v>
      </c>
      <c r="L24" s="47">
        <f>ROUND(0.846153846153846,2)</f>
        <v>0.85</v>
      </c>
      <c r="M24" s="47">
        <f>ROUND(1.52,2)</f>
        <v>1.52</v>
      </c>
      <c r="N24" s="63">
        <f>ROUND(IF('Bicycle Parking Invest. Input'!$C$8&lt;2020,Database!AH24+('Bicycle Parking Invest. Input'!$C$8-2008)*((Database!AI24-Database!AH24)/12),Database!AI24+('Bicycle Parking Invest. Input'!$C$8-2020)*((Database!AJ24-Database!AI24)/10)),-2)</f>
        <v>3300</v>
      </c>
      <c r="O24" s="80">
        <v>5</v>
      </c>
      <c r="P24" s="82"/>
      <c r="Q24" s="180">
        <v>2.7916666666666665</v>
      </c>
      <c r="R24" s="180">
        <v>4.5999999999999996</v>
      </c>
      <c r="S24" s="180">
        <v>2.8421052631578947</v>
      </c>
      <c r="T24" s="180">
        <v>2.6315789473684212</v>
      </c>
      <c r="U24" s="180">
        <v>2.8333333333333335</v>
      </c>
      <c r="V24" s="180">
        <v>3.0588235294117645</v>
      </c>
      <c r="W24" s="82"/>
      <c r="X24" s="82"/>
      <c r="Z24" s="64">
        <v>1673.6098756970434</v>
      </c>
      <c r="AA24" s="56">
        <v>1760.7247585443556</v>
      </c>
      <c r="AB24" s="56">
        <v>1849.1819264632866</v>
      </c>
      <c r="AC24" s="57"/>
      <c r="AD24" s="60">
        <v>1119</v>
      </c>
      <c r="AE24" s="60">
        <v>1119</v>
      </c>
      <c r="AF24" s="60">
        <v>1119</v>
      </c>
      <c r="AG24" s="57"/>
      <c r="AH24" s="59">
        <v>3272.4000000000037</v>
      </c>
      <c r="AI24" s="59">
        <v>3351.7768615548289</v>
      </c>
      <c r="AJ24" s="59">
        <v>3416.3180005193149</v>
      </c>
      <c r="AL24" s="106">
        <v>2.4354482721206439E-2</v>
      </c>
      <c r="AM24" s="108">
        <f>MIN((Database!AL24+('Bicycle Parking Invest. Input'!$C$8-2008)*((Database!AN24-Database!AL24)/12))*100,AP24*100)</f>
        <v>3.2472643628275253</v>
      </c>
      <c r="AN24" s="105">
        <f t="shared" si="0"/>
        <v>4.8708965442412877E-2</v>
      </c>
      <c r="AP24" s="105">
        <f t="shared" si="1"/>
        <v>8.1942294609724686E-2</v>
      </c>
      <c r="AR24" s="311">
        <v>0.24</v>
      </c>
      <c r="AS24" s="311">
        <v>0</v>
      </c>
      <c r="AT24" s="311">
        <v>0.16</v>
      </c>
      <c r="AU24" s="311">
        <v>0.24</v>
      </c>
      <c r="AV24" s="311">
        <v>0.16</v>
      </c>
      <c r="AW24" s="311">
        <v>0.19999999999999996</v>
      </c>
      <c r="AY24" s="308">
        <v>0.7</v>
      </c>
      <c r="AZ24" s="308">
        <v>0.22</v>
      </c>
      <c r="BA24" s="308">
        <v>0.52</v>
      </c>
      <c r="BB24" s="308">
        <v>0.61</v>
      </c>
      <c r="BC24" s="308">
        <v>0.56999999999999995</v>
      </c>
      <c r="BD24" s="308">
        <v>0.38000000000000034</v>
      </c>
      <c r="BF24" s="84">
        <v>0.41</v>
      </c>
      <c r="BG24" s="84" t="s">
        <v>331</v>
      </c>
      <c r="BH24" s="84" t="s">
        <v>331</v>
      </c>
      <c r="BI24" s="84" t="s">
        <v>331</v>
      </c>
      <c r="BJ24" s="84" t="s">
        <v>331</v>
      </c>
      <c r="BK24" s="84" t="s">
        <v>331</v>
      </c>
      <c r="BM24" s="213">
        <v>6</v>
      </c>
      <c r="BN24" s="213">
        <v>2</v>
      </c>
      <c r="BO24" s="209">
        <v>4</v>
      </c>
      <c r="BP24" s="209">
        <v>1</v>
      </c>
      <c r="BQ24" s="209">
        <v>3</v>
      </c>
      <c r="BR24" s="209">
        <v>5</v>
      </c>
      <c r="BT24" s="230">
        <v>2012</v>
      </c>
      <c r="BU24" s="307">
        <f>ROUND(IF(2012&lt;2020,Database!Z24+(2012-2008)*((Database!AA24-Database!Z24)/12),Database!AA24+(2012-2020)*((Database!AB24-Database!AA24)/10)),0)</f>
        <v>1703</v>
      </c>
      <c r="BX24" s="213"/>
    </row>
    <row r="25" spans="1:76" x14ac:dyDescent="0.25">
      <c r="A25" s="45" t="s">
        <v>91</v>
      </c>
      <c r="B25" s="63">
        <f>ROUND(IF('Bicycle Parking Invest. Input'!$C$8&lt;2020,Database!Z25+('Bicycle Parking Invest. Input'!$C$8-2008)*((Database!AA25-Database!Z25)/12),Database!AA25+('Bicycle Parking Invest. Input'!$C$8-2020)*((Database!AB25-Database!AA25)/10)),0)</f>
        <v>6139</v>
      </c>
      <c r="C25" s="63">
        <f>ROUND(IF('Bicycle Parking Invest. Input'!$C$8&lt;2020,Database!AD25+('Bicycle Parking Invest. Input'!$C$8-2008)*((Database!AE25-Database!AD25)/12),Database!AE25+('Bicycle Parking Invest. Input'!$C$8-2020)*((Database!AF25-Database!AE25)/10)),0)</f>
        <v>83</v>
      </c>
      <c r="D25" s="47">
        <f>ROUND(92.1182266009852,0)</f>
        <v>92</v>
      </c>
      <c r="E25" s="47"/>
      <c r="F25" s="49">
        <v>21</v>
      </c>
      <c r="G25" s="49">
        <v>0</v>
      </c>
      <c r="H25" s="49">
        <v>0</v>
      </c>
      <c r="I25" s="49">
        <v>32</v>
      </c>
      <c r="J25" s="49">
        <v>0</v>
      </c>
      <c r="K25" s="49">
        <v>0</v>
      </c>
      <c r="L25" s="47">
        <f>ROUND(0.878048780487805,2)</f>
        <v>0.88</v>
      </c>
      <c r="M25" s="47">
        <f>ROUND(1.23015873015873,2)</f>
        <v>1.23</v>
      </c>
      <c r="N25" s="63">
        <f>ROUND(IF('Bicycle Parking Invest. Input'!$C$8&lt;2020,Database!AH25+('Bicycle Parking Invest. Input'!$C$8-2008)*((Database!AI25-Database!AH25)/12),Database!AI25+('Bicycle Parking Invest. Input'!$C$8-2020)*((Database!AJ25-Database!AI25)/10)),-2)</f>
        <v>6600</v>
      </c>
      <c r="O25" s="80">
        <v>2</v>
      </c>
      <c r="P25" s="82"/>
      <c r="Q25" s="180">
        <v>3.0808080808080809</v>
      </c>
      <c r="R25" s="180">
        <v>4.7654320987654319</v>
      </c>
      <c r="S25" s="180">
        <v>3.6455696202531644</v>
      </c>
      <c r="T25" s="180">
        <v>2.2222222222222223</v>
      </c>
      <c r="U25" s="180">
        <v>2.7183098591549295</v>
      </c>
      <c r="V25" s="180">
        <v>2.1235955056179776</v>
      </c>
      <c r="W25" s="82"/>
      <c r="X25" s="82"/>
      <c r="Z25" s="64">
        <v>4452.5</v>
      </c>
      <c r="AA25" s="56">
        <v>9512</v>
      </c>
      <c r="AB25" s="56">
        <v>16712</v>
      </c>
      <c r="AC25" s="57"/>
      <c r="AD25" s="60">
        <v>83</v>
      </c>
      <c r="AE25" s="60">
        <v>83</v>
      </c>
      <c r="AF25" s="60">
        <v>83</v>
      </c>
      <c r="AG25" s="57"/>
      <c r="AH25" s="59">
        <v>6024.5999999999876</v>
      </c>
      <c r="AI25" s="59">
        <v>7699.5133590590176</v>
      </c>
      <c r="AJ25" s="59">
        <v>10086.120133330558</v>
      </c>
      <c r="AL25" s="106">
        <v>5.7380985744902212E-2</v>
      </c>
      <c r="AM25" s="108">
        <f>MIN((Database!AL25+('Bicycle Parking Invest. Input'!$C$8-2008)*((Database!AN25-Database!AL25)/12))*100,AP25*100)</f>
        <v>7.6507980993202951</v>
      </c>
      <c r="AN25" s="105">
        <f t="shared" si="0"/>
        <v>0.11476197148980442</v>
      </c>
      <c r="AP25" s="105">
        <f t="shared" si="1"/>
        <v>0.14254704745083363</v>
      </c>
      <c r="AR25" s="311">
        <v>0.12</v>
      </c>
      <c r="AS25" s="311">
        <v>0.02</v>
      </c>
      <c r="AT25" s="311">
        <v>7.0000000000000007E-2</v>
      </c>
      <c r="AU25" s="311">
        <v>0.38</v>
      </c>
      <c r="AV25" s="311">
        <v>0.09</v>
      </c>
      <c r="AW25" s="311">
        <v>0.32000000000000006</v>
      </c>
      <c r="AY25" s="308">
        <v>0.56999999999999995</v>
      </c>
      <c r="AZ25" s="308">
        <v>0.18</v>
      </c>
      <c r="BA25" s="308">
        <v>0.35</v>
      </c>
      <c r="BB25" s="308">
        <v>0.67</v>
      </c>
      <c r="BC25" s="308">
        <v>0.5</v>
      </c>
      <c r="BD25" s="308">
        <v>0.73</v>
      </c>
      <c r="BF25" s="84">
        <v>0.86</v>
      </c>
      <c r="BG25" s="84" t="s">
        <v>331</v>
      </c>
      <c r="BH25" s="84" t="s">
        <v>331</v>
      </c>
      <c r="BI25" s="84">
        <v>0.91</v>
      </c>
      <c r="BJ25" s="84" t="s">
        <v>331</v>
      </c>
      <c r="BK25" s="84" t="s">
        <v>331</v>
      </c>
      <c r="BM25" s="213">
        <v>6</v>
      </c>
      <c r="BN25" s="213">
        <v>4</v>
      </c>
      <c r="BO25" s="209">
        <v>5</v>
      </c>
      <c r="BP25" s="209">
        <v>2</v>
      </c>
      <c r="BQ25" s="209">
        <v>3</v>
      </c>
      <c r="BR25" s="209">
        <v>1</v>
      </c>
      <c r="BT25" s="230">
        <v>2012</v>
      </c>
      <c r="BU25" s="307">
        <f>ROUND(IF(2012&lt;2020,Database!Z25+(2012-2008)*((Database!AA25-Database!Z25)/12),Database!AA25+(2012-2020)*((Database!AB25-Database!AA25)/10)),0)</f>
        <v>6139</v>
      </c>
      <c r="BX25" s="213"/>
    </row>
    <row r="26" spans="1:76" x14ac:dyDescent="0.25">
      <c r="A26" s="45" t="s">
        <v>92</v>
      </c>
      <c r="B26" s="63">
        <f>ROUND(IF('Bicycle Parking Invest. Input'!$C$8&lt;2020,Database!Z26+('Bicycle Parking Invest. Input'!$C$8-2008)*((Database!AA26-Database!Z26)/12),Database!AA26+('Bicycle Parking Invest. Input'!$C$8-2020)*((Database!AB26-Database!AA26)/10)),0)</f>
        <v>9643</v>
      </c>
      <c r="C26" s="63">
        <f>ROUND(IF('Bicycle Parking Invest. Input'!$C$8&lt;2020,Database!AD26+('Bicycle Parking Invest. Input'!$C$8-2008)*((Database!AE26-Database!AD26)/12),Database!AE26+('Bicycle Parking Invest. Input'!$C$8-2020)*((Database!AF26-Database!AE26)/10)),0)</f>
        <v>404</v>
      </c>
      <c r="D26" s="47">
        <f>ROUND(87.8378378378378,0)</f>
        <v>88</v>
      </c>
      <c r="E26" s="47"/>
      <c r="F26" s="49">
        <v>84</v>
      </c>
      <c r="G26" s="49">
        <v>42</v>
      </c>
      <c r="H26" s="49">
        <v>0</v>
      </c>
      <c r="I26" s="49">
        <v>40</v>
      </c>
      <c r="J26" s="49">
        <v>0</v>
      </c>
      <c r="K26" s="49">
        <v>0</v>
      </c>
      <c r="L26" s="47">
        <f>ROUND(0.937956204379562,2)</f>
        <v>0.94</v>
      </c>
      <c r="M26" s="47">
        <f>ROUND(1.08363636363636,2)</f>
        <v>1.08</v>
      </c>
      <c r="N26" s="63">
        <f>ROUND(IF('Bicycle Parking Invest. Input'!$C$8&lt;2020,Database!AH26+('Bicycle Parking Invest. Input'!$C$8-2008)*((Database!AI26-Database!AH26)/12),Database!AI26+('Bicycle Parking Invest. Input'!$C$8-2020)*((Database!AJ26-Database!AI26)/10)),-2)</f>
        <v>8000</v>
      </c>
      <c r="O26" s="80">
        <v>3</v>
      </c>
      <c r="P26" s="82"/>
      <c r="Q26" s="180">
        <v>2.5884955752212391</v>
      </c>
      <c r="R26" s="180">
        <v>4.6758241758241761</v>
      </c>
      <c r="S26" s="180">
        <v>3.9554140127388533</v>
      </c>
      <c r="T26" s="180">
        <v>2.5631578947368423</v>
      </c>
      <c r="U26" s="180">
        <v>2.9371428571428573</v>
      </c>
      <c r="V26" s="180">
        <v>2.4010416666666665</v>
      </c>
      <c r="W26" s="82"/>
      <c r="X26" s="82"/>
      <c r="Z26" s="64">
        <v>9040.4749999999985</v>
      </c>
      <c r="AA26" s="56">
        <v>10846.916666666668</v>
      </c>
      <c r="AB26" s="56">
        <v>12964.25</v>
      </c>
      <c r="AC26" s="57"/>
      <c r="AD26" s="60">
        <v>425</v>
      </c>
      <c r="AE26" s="60">
        <v>361.55698234349916</v>
      </c>
      <c r="AF26" s="60">
        <v>361.55698234349916</v>
      </c>
      <c r="AG26" s="57"/>
      <c r="AH26" s="59">
        <v>7806.6000000000067</v>
      </c>
      <c r="AI26" s="59">
        <v>8321.3121692540008</v>
      </c>
      <c r="AJ26" s="59">
        <v>8990.4734350099006</v>
      </c>
      <c r="AL26" s="106">
        <v>7.1781532460656744E-2</v>
      </c>
      <c r="AM26" s="108">
        <f>MIN((Database!AL26+('Bicycle Parking Invest. Input'!$C$8-2008)*((Database!AN26-Database!AL26)/12))*100,AP26*100)</f>
        <v>9.5708709947542321</v>
      </c>
      <c r="AN26" s="105">
        <f t="shared" si="0"/>
        <v>0.14356306492131349</v>
      </c>
      <c r="AP26" s="105">
        <f t="shared" si="1"/>
        <v>0.12760561445254343</v>
      </c>
      <c r="AR26" s="311">
        <v>0.28999999999999998</v>
      </c>
      <c r="AS26" s="311">
        <v>0.03</v>
      </c>
      <c r="AT26" s="311">
        <v>0.06</v>
      </c>
      <c r="AU26" s="311">
        <v>0.28999999999999998</v>
      </c>
      <c r="AV26" s="311">
        <v>0.09</v>
      </c>
      <c r="AW26" s="311">
        <v>0.2400000000000001</v>
      </c>
      <c r="AY26" s="308">
        <v>0.73</v>
      </c>
      <c r="AZ26" s="308">
        <v>0.17</v>
      </c>
      <c r="BA26" s="308">
        <v>0.25</v>
      </c>
      <c r="BB26" s="308">
        <v>0.61</v>
      </c>
      <c r="BC26" s="308">
        <v>0.55000000000000004</v>
      </c>
      <c r="BD26" s="308">
        <v>0.69000000000000039</v>
      </c>
      <c r="BF26" s="84">
        <v>0.86</v>
      </c>
      <c r="BG26" s="84">
        <v>1.1399999999999999</v>
      </c>
      <c r="BH26" s="84" t="s">
        <v>331</v>
      </c>
      <c r="BI26" s="84">
        <v>0.8</v>
      </c>
      <c r="BJ26" s="84" t="s">
        <v>331</v>
      </c>
      <c r="BK26" s="84" t="s">
        <v>331</v>
      </c>
      <c r="BM26" s="213">
        <v>6</v>
      </c>
      <c r="BN26" s="213">
        <v>3</v>
      </c>
      <c r="BO26" s="209">
        <v>5</v>
      </c>
      <c r="BP26" s="209">
        <v>2</v>
      </c>
      <c r="BQ26" s="209">
        <v>4</v>
      </c>
      <c r="BR26" s="209">
        <v>1</v>
      </c>
      <c r="BT26" s="230">
        <v>2012</v>
      </c>
      <c r="BU26" s="307">
        <f>ROUND(IF(2012&lt;2020,Database!Z26+(2012-2008)*((Database!AA26-Database!Z26)/12),Database!AA26+(2012-2020)*((Database!AB26-Database!AA26)/10)),0)</f>
        <v>9643</v>
      </c>
      <c r="BX26" s="213"/>
    </row>
    <row r="27" spans="1:76" x14ac:dyDescent="0.25">
      <c r="A27" s="45" t="s">
        <v>93</v>
      </c>
      <c r="B27" s="63">
        <f>ROUND(IF('Bicycle Parking Invest. Input'!$C$8&lt;2020,Database!Z27+('Bicycle Parking Invest. Input'!$C$8-2008)*((Database!AA27-Database!Z27)/12),Database!AA27+('Bicycle Parking Invest. Input'!$C$8-2020)*((Database!AB27-Database!AA27)/10)),0)</f>
        <v>1677</v>
      </c>
      <c r="C27" s="63">
        <f>ROUND(IF('Bicycle Parking Invest. Input'!$C$8&lt;2020,Database!AD27+('Bicycle Parking Invest. Input'!$C$8-2008)*((Database!AE27-Database!AD27)/12),Database!AE27+('Bicycle Parking Invest. Input'!$C$8-2020)*((Database!AF27-Database!AE27)/10)),0)</f>
        <v>2466</v>
      </c>
      <c r="D27" s="47">
        <f>ROUND(95.364238410596,0)</f>
        <v>95</v>
      </c>
      <c r="E27" s="47"/>
      <c r="F27" s="49">
        <v>40</v>
      </c>
      <c r="G27" s="49">
        <v>0</v>
      </c>
      <c r="H27" s="49">
        <v>0</v>
      </c>
      <c r="I27" s="49">
        <v>0</v>
      </c>
      <c r="J27" s="49">
        <v>0</v>
      </c>
      <c r="K27" s="49">
        <v>0</v>
      </c>
      <c r="L27" s="47">
        <f>ROUND(0.891891891891892,2)</f>
        <v>0.89</v>
      </c>
      <c r="M27" s="47">
        <f>ROUND(1.27027027027027,2)</f>
        <v>1.27</v>
      </c>
      <c r="N27" s="63">
        <f>ROUND(IF('Bicycle Parking Invest. Input'!$C$8&lt;2020,Database!AH27+('Bicycle Parking Invest. Input'!$C$8-2008)*((Database!AI27-Database!AH27)/12),Database!AI27+('Bicycle Parking Invest. Input'!$C$8-2020)*((Database!AJ27-Database!AI27)/10)),-2)</f>
        <v>4400</v>
      </c>
      <c r="O27" s="80">
        <v>5</v>
      </c>
      <c r="P27" s="82"/>
      <c r="Q27" s="180">
        <v>2.8461538461538463</v>
      </c>
      <c r="R27" s="180">
        <v>4.6190476190476186</v>
      </c>
      <c r="S27" s="180">
        <v>3.4210526315789473</v>
      </c>
      <c r="T27" s="180">
        <v>2.7727272727272729</v>
      </c>
      <c r="U27" s="180">
        <v>3.0869565217391304</v>
      </c>
      <c r="V27" s="180">
        <v>1.7916666666666667</v>
      </c>
      <c r="W27" s="82"/>
      <c r="X27" s="82"/>
      <c r="Z27" s="64">
        <v>1561.14</v>
      </c>
      <c r="AA27" s="56">
        <v>1909.85</v>
      </c>
      <c r="AB27" s="56">
        <v>2013.3</v>
      </c>
      <c r="AC27" s="57"/>
      <c r="AD27" s="60">
        <v>2466</v>
      </c>
      <c r="AE27" s="60">
        <v>2466</v>
      </c>
      <c r="AF27" s="60">
        <v>2466</v>
      </c>
      <c r="AG27" s="57"/>
      <c r="AH27" s="59">
        <v>4284.3999999999996</v>
      </c>
      <c r="AI27" s="59">
        <v>4681.4446230651547</v>
      </c>
      <c r="AJ27" s="59">
        <v>4926.3884268661332</v>
      </c>
      <c r="AL27" s="106">
        <v>1.2758817975217827E-2</v>
      </c>
      <c r="AM27" s="108">
        <f>MIN((Database!AL27+('Bicycle Parking Invest. Input'!$C$8-2008)*((Database!AN27-Database!AL27)/12))*100,AP27*100)</f>
        <v>1.7011757300290438</v>
      </c>
      <c r="AN27" s="105">
        <f t="shared" si="0"/>
        <v>2.5517635950435654E-2</v>
      </c>
      <c r="AP27" s="105">
        <f t="shared" si="1"/>
        <v>8.1942294609724686E-2</v>
      </c>
      <c r="AR27" s="311">
        <v>0.18</v>
      </c>
      <c r="AS27" s="311">
        <v>0.03</v>
      </c>
      <c r="AT27" s="311">
        <v>0.06</v>
      </c>
      <c r="AU27" s="311">
        <v>0.15</v>
      </c>
      <c r="AV27" s="311">
        <v>0.18</v>
      </c>
      <c r="AW27" s="311">
        <v>0.39999999999999991</v>
      </c>
      <c r="AY27" s="308">
        <v>0.61</v>
      </c>
      <c r="AZ27" s="308">
        <v>0.21</v>
      </c>
      <c r="BA27" s="308">
        <v>0.39</v>
      </c>
      <c r="BB27" s="308">
        <v>0.5</v>
      </c>
      <c r="BC27" s="308">
        <v>0.5</v>
      </c>
      <c r="BD27" s="308">
        <v>0.79</v>
      </c>
      <c r="BF27" s="84">
        <v>0.13</v>
      </c>
      <c r="BG27" s="84" t="s">
        <v>331</v>
      </c>
      <c r="BH27" s="84" t="s">
        <v>331</v>
      </c>
      <c r="BI27" s="84" t="s">
        <v>331</v>
      </c>
      <c r="BJ27" s="84" t="s">
        <v>331</v>
      </c>
      <c r="BK27" s="84" t="s">
        <v>331</v>
      </c>
      <c r="BM27" s="213">
        <v>6</v>
      </c>
      <c r="BN27" s="213">
        <v>3</v>
      </c>
      <c r="BO27" s="209">
        <v>5</v>
      </c>
      <c r="BP27" s="209">
        <v>2</v>
      </c>
      <c r="BQ27" s="209">
        <v>4</v>
      </c>
      <c r="BR27" s="209">
        <v>1</v>
      </c>
      <c r="BT27" s="230">
        <v>2012</v>
      </c>
      <c r="BU27" s="307">
        <f>ROUND(IF(2012&lt;2020,Database!Z27+(2012-2008)*((Database!AA27-Database!Z27)/12),Database!AA27+(2012-2020)*((Database!AB27-Database!AA27)/10)),0)</f>
        <v>1677</v>
      </c>
      <c r="BX27" s="213"/>
    </row>
    <row r="28" spans="1:76" x14ac:dyDescent="0.25">
      <c r="A28" s="45" t="s">
        <v>94</v>
      </c>
      <c r="B28" s="63">
        <f>ROUND(IF('Bicycle Parking Invest. Input'!$C$8&lt;2020,Database!Z28+('Bicycle Parking Invest. Input'!$C$8-2008)*((Database!AA28-Database!Z28)/12),Database!AA28+('Bicycle Parking Invest. Input'!$C$8-2020)*((Database!AB28-Database!AA28)/10)),0)</f>
        <v>8166</v>
      </c>
      <c r="C28" s="63">
        <f>ROUND(IF('Bicycle Parking Invest. Input'!$C$8&lt;2020,Database!AD28+('Bicycle Parking Invest. Input'!$C$8-2008)*((Database!AE28-Database!AD28)/12),Database!AE28+('Bicycle Parking Invest. Input'!$C$8-2020)*((Database!AF28-Database!AE28)/10)),0)</f>
        <v>0</v>
      </c>
      <c r="D28" s="47">
        <f>ROUND(71.978021978022,0)</f>
        <v>72</v>
      </c>
      <c r="E28" s="47"/>
      <c r="F28" s="49">
        <v>0</v>
      </c>
      <c r="G28" s="49">
        <v>0</v>
      </c>
      <c r="H28" s="49">
        <v>0</v>
      </c>
      <c r="I28" s="49">
        <v>0</v>
      </c>
      <c r="J28" s="49">
        <v>0</v>
      </c>
      <c r="K28" s="49">
        <v>0</v>
      </c>
      <c r="L28" s="47">
        <f>ROUND(0.666666666666667,2)</f>
        <v>0.67</v>
      </c>
      <c r="M28" s="47">
        <f>ROUND(1.125,2)</f>
        <v>1.1299999999999999</v>
      </c>
      <c r="N28" s="63">
        <f>ROUND(IF('Bicycle Parking Invest. Input'!$C$8&lt;2020,Database!AH28+('Bicycle Parking Invest. Input'!$C$8-2008)*((Database!AI28-Database!AH28)/12),Database!AI28+('Bicycle Parking Invest. Input'!$C$8-2020)*((Database!AJ28-Database!AI28)/10)),-2)</f>
        <v>34000</v>
      </c>
      <c r="O28" s="80">
        <v>1</v>
      </c>
      <c r="P28" s="82"/>
      <c r="Q28" s="180">
        <v>2.56</v>
      </c>
      <c r="R28" s="180">
        <v>4.6190476190476186</v>
      </c>
      <c r="S28" s="180">
        <v>3.0625</v>
      </c>
      <c r="T28" s="180">
        <v>3.0588235294117645</v>
      </c>
      <c r="U28" s="180">
        <v>2.8636363636363638</v>
      </c>
      <c r="V28" s="180">
        <v>2.3333333333333335</v>
      </c>
      <c r="W28" s="82"/>
      <c r="X28" s="82"/>
      <c r="Z28" s="64">
        <v>7604.8</v>
      </c>
      <c r="AA28" s="56">
        <v>9289.25</v>
      </c>
      <c r="AB28" s="56">
        <v>10152.75</v>
      </c>
      <c r="AC28" s="57"/>
      <c r="AD28" s="60">
        <v>0</v>
      </c>
      <c r="AE28" s="60">
        <v>0</v>
      </c>
      <c r="AF28" s="60">
        <v>0</v>
      </c>
      <c r="AG28" s="57"/>
      <c r="AH28" s="59">
        <v>32540.370880360493</v>
      </c>
      <c r="AI28" s="59">
        <v>36984.852051557333</v>
      </c>
      <c r="AJ28" s="59">
        <v>39676.937179546003</v>
      </c>
      <c r="AL28" s="106">
        <v>8.6214605102779996E-3</v>
      </c>
      <c r="AM28" s="108">
        <f>MIN((Database!AL28+('Bicycle Parking Invest. Input'!$C$8-2008)*((Database!AN28-Database!AL28)/12))*100,AP28*100)</f>
        <v>1.1495280680370665</v>
      </c>
      <c r="AN28" s="105">
        <f t="shared" si="0"/>
        <v>1.7242921020555999E-2</v>
      </c>
      <c r="AP28" s="105">
        <f t="shared" si="1"/>
        <v>8.6724313927912008E-2</v>
      </c>
      <c r="AR28" s="311">
        <v>0.28000000000000003</v>
      </c>
      <c r="AS28" s="311">
        <v>0.03</v>
      </c>
      <c r="AT28" s="311">
        <v>0.14000000000000001</v>
      </c>
      <c r="AU28" s="311">
        <v>0.1</v>
      </c>
      <c r="AV28" s="311">
        <v>0.14000000000000001</v>
      </c>
      <c r="AW28" s="311">
        <v>0.30999999999999994</v>
      </c>
      <c r="AY28" s="308">
        <v>0.75</v>
      </c>
      <c r="AZ28" s="308">
        <v>0.28000000000000003</v>
      </c>
      <c r="BA28" s="308">
        <v>0.36</v>
      </c>
      <c r="BB28" s="308">
        <v>0.39</v>
      </c>
      <c r="BC28" s="308">
        <v>0.55000000000000004</v>
      </c>
      <c r="BD28" s="308">
        <v>0.66999999999999993</v>
      </c>
      <c r="BF28" s="84" t="s">
        <v>331</v>
      </c>
      <c r="BG28" s="84" t="s">
        <v>331</v>
      </c>
      <c r="BH28" s="84" t="s">
        <v>331</v>
      </c>
      <c r="BI28" s="84" t="s">
        <v>331</v>
      </c>
      <c r="BJ28" s="84" t="s">
        <v>331</v>
      </c>
      <c r="BK28" s="84" t="s">
        <v>331</v>
      </c>
      <c r="BM28" s="213">
        <v>6</v>
      </c>
      <c r="BN28" s="213">
        <v>2</v>
      </c>
      <c r="BO28" s="209">
        <v>5</v>
      </c>
      <c r="BP28" s="209">
        <v>4</v>
      </c>
      <c r="BQ28" s="209">
        <v>3</v>
      </c>
      <c r="BR28" s="209">
        <v>1</v>
      </c>
      <c r="BT28" s="230">
        <v>2012</v>
      </c>
      <c r="BU28" s="307">
        <f>ROUND(IF(2012&lt;2020,Database!Z28+(2012-2008)*((Database!AA28-Database!Z28)/12),Database!AA28+(2012-2020)*((Database!AB28-Database!AA28)/10)),0)</f>
        <v>8166</v>
      </c>
      <c r="BX28" s="213"/>
    </row>
    <row r="29" spans="1:76" x14ac:dyDescent="0.25">
      <c r="A29" s="45" t="s">
        <v>95</v>
      </c>
      <c r="B29" s="63">
        <f>ROUND(IF('Bicycle Parking Invest. Input'!$C$8&lt;2020,Database!Z29+('Bicycle Parking Invest. Input'!$C$8-2008)*((Database!AA29-Database!Z29)/12),Database!AA29+('Bicycle Parking Invest. Input'!$C$8-2020)*((Database!AB29-Database!AA29)/10)),0)</f>
        <v>9236</v>
      </c>
      <c r="C29" s="63">
        <f>ROUND(IF('Bicycle Parking Invest. Input'!$C$8&lt;2020,Database!AD29+('Bicycle Parking Invest. Input'!$C$8-2008)*((Database!AE29-Database!AD29)/12),Database!AE29+('Bicycle Parking Invest. Input'!$C$8-2020)*((Database!AF29-Database!AE29)/10)),0)</f>
        <v>595</v>
      </c>
      <c r="D29" s="47">
        <f>ROUND(96.9465648854962,0)</f>
        <v>97</v>
      </c>
      <c r="E29" s="47"/>
      <c r="F29" s="49">
        <v>151</v>
      </c>
      <c r="G29" s="49">
        <v>0</v>
      </c>
      <c r="H29" s="49">
        <v>0</v>
      </c>
      <c r="I29" s="49">
        <v>48</v>
      </c>
      <c r="J29" s="49">
        <v>0</v>
      </c>
      <c r="K29" s="49">
        <v>0</v>
      </c>
      <c r="L29" s="47">
        <f>ROUND(1.15228426395939,2)</f>
        <v>1.1499999999999999</v>
      </c>
      <c r="M29" s="47">
        <f>ROUND(1.38775510204082,2)</f>
        <v>1.39</v>
      </c>
      <c r="N29" s="63">
        <f>ROUND(IF('Bicycle Parking Invest. Input'!$C$8&lt;2020,Database!AH29+('Bicycle Parking Invest. Input'!$C$8-2008)*((Database!AI29-Database!AH29)/12),Database!AI29+('Bicycle Parking Invest. Input'!$C$8-2020)*((Database!AJ29-Database!AI29)/10)),-2)</f>
        <v>3800</v>
      </c>
      <c r="O29" s="80">
        <v>2</v>
      </c>
      <c r="P29" s="82"/>
      <c r="Q29" s="180">
        <v>3.0347222222222223</v>
      </c>
      <c r="R29" s="180">
        <v>4.4153846153846157</v>
      </c>
      <c r="S29" s="180">
        <v>3.8782608695652172</v>
      </c>
      <c r="T29" s="180">
        <v>2.2167832167832167</v>
      </c>
      <c r="U29" s="180">
        <v>3.0614035087719298</v>
      </c>
      <c r="V29" s="180">
        <v>2.1870503597122304</v>
      </c>
      <c r="W29" s="82"/>
      <c r="X29" s="82"/>
      <c r="Z29" s="64">
        <v>9114.5499999999993</v>
      </c>
      <c r="AA29" s="56">
        <v>9479.4166666666661</v>
      </c>
      <c r="AB29" s="56">
        <v>9962.75</v>
      </c>
      <c r="AC29" s="57"/>
      <c r="AD29" s="60">
        <v>595</v>
      </c>
      <c r="AE29" s="60">
        <v>595</v>
      </c>
      <c r="AF29" s="60">
        <v>595</v>
      </c>
      <c r="AG29" s="57"/>
      <c r="AH29" s="59">
        <v>3716.4000000000119</v>
      </c>
      <c r="AI29" s="59">
        <v>3825.6592675673755</v>
      </c>
      <c r="AJ29" s="59">
        <v>3972.2879154343204</v>
      </c>
      <c r="AL29" s="106">
        <v>9.1189117070224118E-2</v>
      </c>
      <c r="AM29" s="108">
        <f>MIN((Database!AL29+('Bicycle Parking Invest. Input'!$C$8-2008)*((Database!AN29-Database!AL29)/12))*100,AP29*100)</f>
        <v>12.15854894269655</v>
      </c>
      <c r="AN29" s="105">
        <f t="shared" si="0"/>
        <v>0.18237823414044824</v>
      </c>
      <c r="AP29" s="105">
        <f t="shared" si="1"/>
        <v>0.14254704745083363</v>
      </c>
      <c r="AR29" s="311">
        <v>0.16</v>
      </c>
      <c r="AS29" s="311">
        <v>0.05</v>
      </c>
      <c r="AT29" s="311">
        <v>7.0000000000000007E-2</v>
      </c>
      <c r="AU29" s="311">
        <v>0.36</v>
      </c>
      <c r="AV29" s="311">
        <v>0.05</v>
      </c>
      <c r="AW29" s="311">
        <v>0.30999999999999994</v>
      </c>
      <c r="AY29" s="308">
        <v>0.52</v>
      </c>
      <c r="AZ29" s="308">
        <v>0.23</v>
      </c>
      <c r="BA29" s="308">
        <v>0.3</v>
      </c>
      <c r="BB29" s="308">
        <v>0.72</v>
      </c>
      <c r="BC29" s="308">
        <v>0.48</v>
      </c>
      <c r="BD29" s="308">
        <v>0.75</v>
      </c>
      <c r="BF29" s="84">
        <v>0.73</v>
      </c>
      <c r="BG29" s="84" t="s">
        <v>331</v>
      </c>
      <c r="BH29" s="84" t="s">
        <v>331</v>
      </c>
      <c r="BI29" s="84">
        <v>0.77</v>
      </c>
      <c r="BJ29" s="84" t="s">
        <v>331</v>
      </c>
      <c r="BK29" s="84" t="s">
        <v>331</v>
      </c>
      <c r="BM29" s="213">
        <v>6</v>
      </c>
      <c r="BN29" s="213">
        <v>3</v>
      </c>
      <c r="BO29" s="209">
        <v>5</v>
      </c>
      <c r="BP29" s="209">
        <v>2</v>
      </c>
      <c r="BQ29" s="209">
        <v>4</v>
      </c>
      <c r="BR29" s="209">
        <v>1</v>
      </c>
      <c r="BT29" s="230">
        <v>2012</v>
      </c>
      <c r="BU29" s="307">
        <f>ROUND(IF(2012&lt;2020,Database!Z29+(2012-2008)*((Database!AA29-Database!Z29)/12),Database!AA29+(2012-2020)*((Database!AB29-Database!AA29)/10)),0)</f>
        <v>9236</v>
      </c>
      <c r="BX29" s="213"/>
    </row>
    <row r="30" spans="1:76" x14ac:dyDescent="0.25">
      <c r="A30" s="45" t="s">
        <v>96</v>
      </c>
      <c r="B30" s="63">
        <f>ROUND(IF('Bicycle Parking Invest. Input'!$C$8&lt;2020,Database!Z30+('Bicycle Parking Invest. Input'!$C$8-2008)*((Database!AA30-Database!Z30)/12),Database!AA30+('Bicycle Parking Invest. Input'!$C$8-2020)*((Database!AB30-Database!AA30)/10)),0)</f>
        <v>3311</v>
      </c>
      <c r="C30" s="63">
        <f>ROUND(IF('Bicycle Parking Invest. Input'!$C$8&lt;2020,Database!AD30+('Bicycle Parking Invest. Input'!$C$8-2008)*((Database!AE30-Database!AD30)/12),Database!AE30+('Bicycle Parking Invest. Input'!$C$8-2020)*((Database!AF30-Database!AE30)/10)),0)</f>
        <v>1870</v>
      </c>
      <c r="D30" s="47">
        <f>ROUND(93.2926829268293,0)</f>
        <v>93</v>
      </c>
      <c r="E30" s="47"/>
      <c r="F30" s="49">
        <v>60</v>
      </c>
      <c r="G30" s="49">
        <v>0</v>
      </c>
      <c r="H30" s="49">
        <v>0</v>
      </c>
      <c r="I30" s="49">
        <v>0</v>
      </c>
      <c r="J30" s="49">
        <v>0</v>
      </c>
      <c r="K30" s="49">
        <v>0</v>
      </c>
      <c r="L30" s="47">
        <f>ROUND(0.857142857142857,2)</f>
        <v>0.86</v>
      </c>
      <c r="M30" s="47">
        <f>ROUND(1.125,2)</f>
        <v>1.1299999999999999</v>
      </c>
      <c r="N30" s="63">
        <f>ROUND(IF('Bicycle Parking Invest. Input'!$C$8&lt;2020,Database!AH30+('Bicycle Parking Invest. Input'!$C$8-2008)*((Database!AI30-Database!AH30)/12),Database!AI30+('Bicycle Parking Invest. Input'!$C$8-2020)*((Database!AJ30-Database!AI30)/10)),-2)</f>
        <v>2300</v>
      </c>
      <c r="O30" s="80">
        <v>5</v>
      </c>
      <c r="P30" s="82"/>
      <c r="Q30" s="180">
        <v>2.4</v>
      </c>
      <c r="R30" s="180">
        <v>4.75</v>
      </c>
      <c r="S30" s="180">
        <v>3.6666666666666665</v>
      </c>
      <c r="T30" s="180">
        <v>3.3333333333333335</v>
      </c>
      <c r="U30" s="180">
        <v>2.25</v>
      </c>
      <c r="V30" s="180">
        <v>2.3333333333333335</v>
      </c>
      <c r="W30" s="82"/>
      <c r="X30" s="82"/>
      <c r="Z30" s="64">
        <v>3303.4734287787041</v>
      </c>
      <c r="AA30" s="56">
        <v>3326.4073096213779</v>
      </c>
      <c r="AB30" s="56">
        <v>3370.4803999999999</v>
      </c>
      <c r="AC30" s="57"/>
      <c r="AD30" s="60">
        <v>1870</v>
      </c>
      <c r="AE30" s="60">
        <v>1870</v>
      </c>
      <c r="AF30" s="60">
        <v>1870</v>
      </c>
      <c r="AG30" s="57"/>
      <c r="AH30" s="59">
        <v>2343.2000000000012</v>
      </c>
      <c r="AI30" s="59">
        <v>2360.0426117226043</v>
      </c>
      <c r="AJ30" s="59">
        <v>2383.0374428741197</v>
      </c>
      <c r="AL30" s="106">
        <v>9.5272586939196182E-3</v>
      </c>
      <c r="AM30" s="108">
        <f>MIN((Database!AL30+('Bicycle Parking Invest. Input'!$C$8-2008)*((Database!AN30-Database!AL30)/12))*100,AP30*100)</f>
        <v>1.2703011591892825</v>
      </c>
      <c r="AN30" s="105">
        <f t="shared" si="0"/>
        <v>1.9054517387839236E-2</v>
      </c>
      <c r="AP30" s="105">
        <f t="shared" si="1"/>
        <v>8.1942294609724686E-2</v>
      </c>
      <c r="AR30" s="311">
        <v>0.5</v>
      </c>
      <c r="AS30" s="311">
        <v>0</v>
      </c>
      <c r="AT30" s="311">
        <v>0</v>
      </c>
      <c r="AU30" s="311">
        <v>0</v>
      </c>
      <c r="AV30" s="311">
        <v>0.33</v>
      </c>
      <c r="AW30" s="311">
        <v>0.16999999999999993</v>
      </c>
      <c r="AY30" s="308">
        <v>0.69</v>
      </c>
      <c r="AZ30" s="308">
        <v>0.23</v>
      </c>
      <c r="BA30" s="308">
        <v>0.23</v>
      </c>
      <c r="BB30" s="308">
        <v>0.46</v>
      </c>
      <c r="BC30" s="308">
        <v>0.69</v>
      </c>
      <c r="BD30" s="308">
        <v>0.70000000000000018</v>
      </c>
      <c r="BF30" s="84">
        <v>0.03</v>
      </c>
      <c r="BG30" s="84" t="s">
        <v>331</v>
      </c>
      <c r="BH30" s="84" t="s">
        <v>331</v>
      </c>
      <c r="BI30" s="84" t="s">
        <v>331</v>
      </c>
      <c r="BJ30" s="84" t="s">
        <v>331</v>
      </c>
      <c r="BK30" s="84" t="s">
        <v>331</v>
      </c>
      <c r="BM30" s="213">
        <v>6</v>
      </c>
      <c r="BN30" s="213">
        <v>3</v>
      </c>
      <c r="BO30" s="209">
        <v>5</v>
      </c>
      <c r="BP30" s="209">
        <v>4</v>
      </c>
      <c r="BQ30" s="209">
        <v>1</v>
      </c>
      <c r="BR30" s="209">
        <v>2</v>
      </c>
      <c r="BT30" s="230">
        <v>2012</v>
      </c>
      <c r="BU30" s="307">
        <f>ROUND(IF(2012&lt;2020,Database!Z30+(2012-2008)*((Database!AA30-Database!Z30)/12),Database!AA30+(2012-2020)*((Database!AB30-Database!AA30)/10)),0)</f>
        <v>3311</v>
      </c>
      <c r="BX30" s="213"/>
    </row>
    <row r="31" spans="1:76" x14ac:dyDescent="0.25">
      <c r="A31" s="45" t="s">
        <v>97</v>
      </c>
      <c r="B31" s="63">
        <f>ROUND(IF('Bicycle Parking Invest. Input'!$C$8&lt;2020,Database!Z31+('Bicycle Parking Invest. Input'!$C$8-2008)*((Database!AA31-Database!Z31)/12),Database!AA31+('Bicycle Parking Invest. Input'!$C$8-2020)*((Database!AB31-Database!AA31)/10)),0)</f>
        <v>676</v>
      </c>
      <c r="C31" s="63">
        <f>ROUND(IF('Bicycle Parking Invest. Input'!$C$8&lt;2020,Database!AD31+('Bicycle Parking Invest. Input'!$C$8-2008)*((Database!AE31-Database!AD31)/12),Database!AE31+('Bicycle Parking Invest. Input'!$C$8-2020)*((Database!AF31-Database!AE31)/10)),0)</f>
        <v>975</v>
      </c>
      <c r="D31" s="47">
        <f>ROUND(79.6703296703297,0)</f>
        <v>80</v>
      </c>
      <c r="E31" s="47"/>
      <c r="F31" s="49">
        <v>26</v>
      </c>
      <c r="G31" s="49">
        <v>0</v>
      </c>
      <c r="H31" s="49">
        <v>8</v>
      </c>
      <c r="I31" s="49">
        <v>0</v>
      </c>
      <c r="J31" s="49">
        <v>0</v>
      </c>
      <c r="K31" s="49">
        <v>0</v>
      </c>
      <c r="L31" s="47">
        <f>ROUND(1.2,2)</f>
        <v>1.2</v>
      </c>
      <c r="M31" s="47">
        <f>ROUND(1.6,2)</f>
        <v>1.6</v>
      </c>
      <c r="N31" s="63">
        <f>ROUND(IF('Bicycle Parking Invest. Input'!$C$8&lt;2020,Database!AH31+('Bicycle Parking Invest. Input'!$C$8-2008)*((Database!AI31-Database!AH31)/12),Database!AI31+('Bicycle Parking Invest. Input'!$C$8-2020)*((Database!AJ31-Database!AI31)/10)),-2)</f>
        <v>2700</v>
      </c>
      <c r="O31" s="80">
        <v>5</v>
      </c>
      <c r="P31" s="82"/>
      <c r="Q31" s="180">
        <v>4.125</v>
      </c>
      <c r="R31" s="180">
        <v>5.5</v>
      </c>
      <c r="S31" s="180">
        <v>2.5</v>
      </c>
      <c r="T31" s="180">
        <v>2.2222222222222223</v>
      </c>
      <c r="U31" s="180">
        <v>3.625</v>
      </c>
      <c r="V31" s="180">
        <v>2.875</v>
      </c>
      <c r="W31" s="82"/>
      <c r="X31" s="82"/>
      <c r="Z31" s="64">
        <v>549.97615995308036</v>
      </c>
      <c r="AA31" s="56">
        <v>927.53354586794796</v>
      </c>
      <c r="AB31" s="56">
        <v>1268.55</v>
      </c>
      <c r="AC31" s="57"/>
      <c r="AD31" s="60">
        <v>952</v>
      </c>
      <c r="AE31" s="60">
        <v>1021.9485672299779</v>
      </c>
      <c r="AF31" s="60">
        <v>1021.9485672299779</v>
      </c>
      <c r="AG31" s="57"/>
      <c r="AH31" s="59">
        <v>2667.0000000000014</v>
      </c>
      <c r="AI31" s="59">
        <v>2871.3619986219855</v>
      </c>
      <c r="AJ31" s="59">
        <v>2984.9242679975473</v>
      </c>
      <c r="AL31" s="106">
        <v>2.3208864931561018E-2</v>
      </c>
      <c r="AM31" s="108">
        <f>MIN((Database!AL31+('Bicycle Parking Invest. Input'!$C$8-2008)*((Database!AN31-Database!AL31)/12))*100,AP31*100)</f>
        <v>3.0945153242081358</v>
      </c>
      <c r="AN31" s="105">
        <f t="shared" si="0"/>
        <v>4.6417729863122037E-2</v>
      </c>
      <c r="AP31" s="105">
        <f t="shared" si="1"/>
        <v>8.1942294609724686E-2</v>
      </c>
      <c r="AR31" s="311">
        <v>0.11</v>
      </c>
      <c r="AS31" s="311">
        <v>0</v>
      </c>
      <c r="AT31" s="311">
        <v>0.33</v>
      </c>
      <c r="AU31" s="311">
        <v>0.44</v>
      </c>
      <c r="AV31" s="311">
        <v>0</v>
      </c>
      <c r="AW31" s="311">
        <v>0.12</v>
      </c>
      <c r="AY31" s="308">
        <v>0.36</v>
      </c>
      <c r="AZ31" s="308">
        <v>0</v>
      </c>
      <c r="BA31" s="308">
        <v>0.6</v>
      </c>
      <c r="BB31" s="308">
        <v>0.84</v>
      </c>
      <c r="BC31" s="308">
        <v>0.48</v>
      </c>
      <c r="BD31" s="308">
        <v>0.7200000000000002</v>
      </c>
      <c r="BF31" s="84">
        <v>0.31</v>
      </c>
      <c r="BG31" s="84" t="s">
        <v>331</v>
      </c>
      <c r="BH31" s="84">
        <v>0</v>
      </c>
      <c r="BI31" s="84" t="s">
        <v>331</v>
      </c>
      <c r="BJ31" s="84" t="s">
        <v>331</v>
      </c>
      <c r="BK31" s="84" t="s">
        <v>331</v>
      </c>
      <c r="BM31" s="213">
        <v>6</v>
      </c>
      <c r="BN31" s="213">
        <v>5</v>
      </c>
      <c r="BO31" s="209">
        <v>2</v>
      </c>
      <c r="BP31" s="209">
        <v>1</v>
      </c>
      <c r="BQ31" s="209">
        <v>4</v>
      </c>
      <c r="BR31" s="209">
        <v>3</v>
      </c>
      <c r="BT31" s="230">
        <v>2012</v>
      </c>
      <c r="BU31" s="307">
        <f>ROUND(IF(2012&lt;2020,Database!Z31+(2012-2008)*((Database!AA31-Database!Z31)/12),Database!AA31+(2012-2020)*((Database!AB31-Database!AA31)/10)),0)</f>
        <v>676</v>
      </c>
      <c r="BX31" s="213"/>
    </row>
    <row r="32" spans="1:76" x14ac:dyDescent="0.25">
      <c r="A32" s="45" t="s">
        <v>98</v>
      </c>
      <c r="B32" s="63">
        <f>ROUND(IF('Bicycle Parking Invest. Input'!$C$8&lt;2020,Database!Z32+('Bicycle Parking Invest. Input'!$C$8-2008)*((Database!AA32-Database!Z32)/12),Database!AA32+('Bicycle Parking Invest. Input'!$C$8-2020)*((Database!AB32-Database!AA32)/10)),0)</f>
        <v>2496</v>
      </c>
      <c r="C32" s="63">
        <f>ROUND(IF('Bicycle Parking Invest. Input'!$C$8&lt;2020,Database!AD32+('Bicycle Parking Invest. Input'!$C$8-2008)*((Database!AE32-Database!AD32)/12),Database!AE32+('Bicycle Parking Invest. Input'!$C$8-2020)*((Database!AF32-Database!AE32)/10)),0)</f>
        <v>1708</v>
      </c>
      <c r="D32" s="47">
        <f>ROUND(93.7888198757764,0)</f>
        <v>94</v>
      </c>
      <c r="E32" s="47"/>
      <c r="F32" s="49">
        <v>24</v>
      </c>
      <c r="G32" s="49">
        <v>0</v>
      </c>
      <c r="H32" s="49">
        <v>0</v>
      </c>
      <c r="I32" s="49">
        <v>0</v>
      </c>
      <c r="J32" s="49">
        <v>0</v>
      </c>
      <c r="K32" s="49">
        <v>0</v>
      </c>
      <c r="L32" s="47">
        <f>ROUND(0.666666666666667,2)</f>
        <v>0.67</v>
      </c>
      <c r="M32" s="47">
        <f>ROUND(0.933333333333333,2)</f>
        <v>0.93</v>
      </c>
      <c r="N32" s="63">
        <f>ROUND(IF('Bicycle Parking Invest. Input'!$C$8&lt;2020,Database!AH32+('Bicycle Parking Invest. Input'!$C$8-2008)*((Database!AI32-Database!AH32)/12),Database!AI32+('Bicycle Parking Invest. Input'!$C$8-2020)*((Database!AJ32-Database!AI32)/10)),-2)</f>
        <v>5400</v>
      </c>
      <c r="O32" s="80">
        <v>5</v>
      </c>
      <c r="P32" s="82"/>
      <c r="Q32" s="180">
        <v>1.8571428571428572</v>
      </c>
      <c r="R32" s="180">
        <v>6</v>
      </c>
      <c r="S32" s="180">
        <v>1.8</v>
      </c>
      <c r="T32" s="180">
        <v>2.8</v>
      </c>
      <c r="U32" s="180">
        <v>2.2000000000000002</v>
      </c>
      <c r="V32" s="180">
        <v>3.2</v>
      </c>
      <c r="W32" s="82"/>
      <c r="X32" s="82"/>
      <c r="Z32" s="64">
        <v>1984.9411408348801</v>
      </c>
      <c r="AA32" s="56">
        <v>3518.3537332387496</v>
      </c>
      <c r="AB32" s="56">
        <v>5550.5</v>
      </c>
      <c r="AC32" s="57"/>
      <c r="AD32" s="60">
        <v>1708</v>
      </c>
      <c r="AE32" s="60">
        <v>1708</v>
      </c>
      <c r="AF32" s="60">
        <v>1708</v>
      </c>
      <c r="AG32" s="57"/>
      <c r="AH32" s="59">
        <v>5109.5999999999913</v>
      </c>
      <c r="AI32" s="59">
        <v>5909.9126659843696</v>
      </c>
      <c r="AJ32" s="59">
        <v>6715.8298895333355</v>
      </c>
      <c r="AL32" s="106">
        <v>8.3337283755445437E-3</v>
      </c>
      <c r="AM32" s="108">
        <f>MIN((Database!AL32+('Bicycle Parking Invest. Input'!$C$8-2008)*((Database!AN32-Database!AL32)/12))*100,AP32*100)</f>
        <v>1.1111637834059391</v>
      </c>
      <c r="AN32" s="105">
        <f t="shared" si="0"/>
        <v>1.6667456751089087E-2</v>
      </c>
      <c r="AP32" s="105">
        <f t="shared" si="1"/>
        <v>8.1942294609724686E-2</v>
      </c>
      <c r="AR32" s="311">
        <v>0.5</v>
      </c>
      <c r="AS32" s="311">
        <v>0</v>
      </c>
      <c r="AT32" s="311">
        <v>0.2</v>
      </c>
      <c r="AU32" s="311">
        <v>0.1</v>
      </c>
      <c r="AV32" s="311">
        <v>0.1</v>
      </c>
      <c r="AW32" s="311">
        <v>0.10000000000000009</v>
      </c>
      <c r="AY32" s="308">
        <v>0.86</v>
      </c>
      <c r="AZ32" s="308">
        <v>0</v>
      </c>
      <c r="BA32" s="308">
        <v>0.71</v>
      </c>
      <c r="BB32" s="308">
        <v>0.43</v>
      </c>
      <c r="BC32" s="308">
        <v>0.71</v>
      </c>
      <c r="BD32" s="308">
        <v>0.29000000000000004</v>
      </c>
      <c r="BF32" s="84">
        <v>0.33</v>
      </c>
      <c r="BG32" s="84" t="s">
        <v>331</v>
      </c>
      <c r="BH32" s="84" t="s">
        <v>331</v>
      </c>
      <c r="BI32" s="84" t="s">
        <v>331</v>
      </c>
      <c r="BJ32" s="84" t="s">
        <v>331</v>
      </c>
      <c r="BK32" s="84" t="s">
        <v>331</v>
      </c>
      <c r="BM32" s="213">
        <v>6</v>
      </c>
      <c r="BN32" s="213">
        <v>2</v>
      </c>
      <c r="BO32" s="209">
        <v>1</v>
      </c>
      <c r="BP32" s="209">
        <v>4</v>
      </c>
      <c r="BQ32" s="209">
        <v>3</v>
      </c>
      <c r="BR32" s="209">
        <v>5</v>
      </c>
      <c r="BT32" s="230">
        <v>2012</v>
      </c>
      <c r="BU32" s="307">
        <f>ROUND(IF(2012&lt;2020,Database!Z32+(2012-2008)*((Database!AA32-Database!Z32)/12),Database!AA32+(2012-2020)*((Database!AB32-Database!AA32)/10)),0)</f>
        <v>2496</v>
      </c>
      <c r="BX32" s="213"/>
    </row>
    <row r="33" spans="1:76" x14ac:dyDescent="0.25">
      <c r="A33" s="45" t="s">
        <v>99</v>
      </c>
      <c r="B33" s="63">
        <f>ROUND(IF('Bicycle Parking Invest. Input'!$C$8&lt;2020,Database!Z33+('Bicycle Parking Invest. Input'!$C$8-2008)*((Database!AA33-Database!Z33)/12),Database!AA33+('Bicycle Parking Invest. Input'!$C$8-2020)*((Database!AB33-Database!AA33)/10)),0)</f>
        <v>4599</v>
      </c>
      <c r="C33" s="63">
        <f>ROUND(IF('Bicycle Parking Invest. Input'!$C$8&lt;2020,Database!AD33+('Bicycle Parking Invest. Input'!$C$8-2008)*((Database!AE33-Database!AD33)/12),Database!AE33+('Bicycle Parking Invest. Input'!$C$8-2020)*((Database!AF33-Database!AE33)/10)),0)</f>
        <v>2416</v>
      </c>
      <c r="D33" s="47">
        <f>ROUND(90.1098901098901,0)</f>
        <v>90</v>
      </c>
      <c r="E33" s="47"/>
      <c r="F33" s="49">
        <v>224</v>
      </c>
      <c r="G33" s="49">
        <v>0</v>
      </c>
      <c r="H33" s="49">
        <v>0</v>
      </c>
      <c r="I33" s="49">
        <v>24</v>
      </c>
      <c r="J33" s="49">
        <v>0</v>
      </c>
      <c r="K33" s="49">
        <v>0</v>
      </c>
      <c r="L33" s="47">
        <f>ROUND(0.965116279069767,2)</f>
        <v>0.97</v>
      </c>
      <c r="M33" s="47">
        <f>ROUND(1.11904761904762,2)</f>
        <v>1.1200000000000001</v>
      </c>
      <c r="N33" s="63">
        <f>ROUND(IF('Bicycle Parking Invest. Input'!$C$8&lt;2020,Database!AH33+('Bicycle Parking Invest. Input'!$C$8-2008)*((Database!AI33-Database!AH33)/12),Database!AI33+('Bicycle Parking Invest. Input'!$C$8-2020)*((Database!AJ33-Database!AI33)/10)),-2)</f>
        <v>6500</v>
      </c>
      <c r="O33" s="80">
        <v>5</v>
      </c>
      <c r="P33" s="82"/>
      <c r="Q33" s="180">
        <v>2.9152542372881354</v>
      </c>
      <c r="R33" s="180">
        <v>4.5999999999999996</v>
      </c>
      <c r="S33" s="180">
        <v>2.6727272727272728</v>
      </c>
      <c r="T33" s="180">
        <v>1.8888888888888888</v>
      </c>
      <c r="U33" s="180">
        <v>3.2790697674418605</v>
      </c>
      <c r="V33" s="180">
        <v>2.8095238095238093</v>
      </c>
      <c r="W33" s="82"/>
      <c r="X33" s="82"/>
      <c r="Z33" s="64">
        <v>4524.623351801195</v>
      </c>
      <c r="AA33" s="56">
        <v>4748.947938725255</v>
      </c>
      <c r="AB33" s="56">
        <v>5245.0062001297874</v>
      </c>
      <c r="AC33" s="57"/>
      <c r="AD33" s="60">
        <v>2416</v>
      </c>
      <c r="AE33" s="60">
        <v>2416</v>
      </c>
      <c r="AF33" s="60">
        <v>2416</v>
      </c>
      <c r="AG33" s="57"/>
      <c r="AH33" s="59">
        <v>6440.7999999999929</v>
      </c>
      <c r="AI33" s="59">
        <v>6611.3192631176253</v>
      </c>
      <c r="AJ33" s="59">
        <v>6818.3326953210744</v>
      </c>
      <c r="AL33" s="106">
        <v>5.1942294609724687E-2</v>
      </c>
      <c r="AM33" s="108">
        <f>MIN((Database!AL33+('Bicycle Parking Invest. Input'!$C$8-2008)*((Database!AN33-Database!AL33)/12))*100,AP33*100)</f>
        <v>6.9256392812966254</v>
      </c>
      <c r="AN33" s="105">
        <f t="shared" si="0"/>
        <v>0.10388458921944937</v>
      </c>
      <c r="AP33" s="105">
        <f t="shared" si="1"/>
        <v>8.1942294609724686E-2</v>
      </c>
      <c r="AR33" s="311">
        <v>0.09</v>
      </c>
      <c r="AS33" s="311">
        <v>0.04</v>
      </c>
      <c r="AT33" s="311">
        <v>0.22</v>
      </c>
      <c r="AU33" s="311">
        <v>0.46</v>
      </c>
      <c r="AV33" s="311">
        <v>0.05</v>
      </c>
      <c r="AW33" s="311">
        <v>0.1399999999999999</v>
      </c>
      <c r="AY33" s="308">
        <v>0.64</v>
      </c>
      <c r="AZ33" s="308">
        <v>0.21</v>
      </c>
      <c r="BA33" s="308">
        <v>0.56000000000000005</v>
      </c>
      <c r="BB33" s="308">
        <v>0.8</v>
      </c>
      <c r="BC33" s="308">
        <v>0.35</v>
      </c>
      <c r="BD33" s="308">
        <v>0.43999999999999995</v>
      </c>
      <c r="BF33" s="84">
        <v>0.42</v>
      </c>
      <c r="BG33" s="84" t="s">
        <v>331</v>
      </c>
      <c r="BH33" s="84" t="s">
        <v>331</v>
      </c>
      <c r="BI33" s="84">
        <v>0.92</v>
      </c>
      <c r="BJ33" s="84" t="s">
        <v>331</v>
      </c>
      <c r="BK33" s="84" t="s">
        <v>331</v>
      </c>
      <c r="BM33" s="213">
        <v>6</v>
      </c>
      <c r="BN33" s="213">
        <v>4</v>
      </c>
      <c r="BO33" s="209">
        <v>2</v>
      </c>
      <c r="BP33" s="209">
        <v>1</v>
      </c>
      <c r="BQ33" s="209">
        <v>5</v>
      </c>
      <c r="BR33" s="209">
        <v>3</v>
      </c>
      <c r="BT33" s="230">
        <v>2012</v>
      </c>
      <c r="BU33" s="307">
        <f>ROUND(IF(2012&lt;2020,Database!Z33+(2012-2008)*((Database!AA33-Database!Z33)/12),Database!AA33+(2012-2020)*((Database!AB33-Database!AA33)/10)),0)</f>
        <v>4599</v>
      </c>
      <c r="BX33" s="213"/>
    </row>
    <row r="34" spans="1:76" x14ac:dyDescent="0.25">
      <c r="A34" s="45" t="s">
        <v>100</v>
      </c>
      <c r="B34" s="63">
        <f>ROUND(IF('Bicycle Parking Invest. Input'!$C$8&lt;2020,Database!Z34+('Bicycle Parking Invest. Input'!$C$8-2008)*((Database!AA34-Database!Z34)/12),Database!AA34+('Bicycle Parking Invest. Input'!$C$8-2020)*((Database!AB34-Database!AA34)/10)),0)</f>
        <v>16834</v>
      </c>
      <c r="C34" s="63">
        <f>ROUND(IF('Bicycle Parking Invest. Input'!$C$8&lt;2020,Database!AD34+('Bicycle Parking Invest. Input'!$C$8-2008)*((Database!AE34-Database!AD34)/12),Database!AE34+('Bicycle Parking Invest. Input'!$C$8-2020)*((Database!AF34-Database!AE34)/10)),0)</f>
        <v>0</v>
      </c>
      <c r="D34" s="47">
        <f>ROUND(72.1189591078067,0)</f>
        <v>72</v>
      </c>
      <c r="E34" s="47"/>
      <c r="F34" s="49">
        <v>0</v>
      </c>
      <c r="G34" s="49">
        <v>7</v>
      </c>
      <c r="H34" s="49">
        <v>0</v>
      </c>
      <c r="I34" s="49">
        <v>0</v>
      </c>
      <c r="J34" s="49">
        <v>0</v>
      </c>
      <c r="K34" s="49">
        <v>0</v>
      </c>
      <c r="L34" s="47">
        <f>ROUND(0.363636363636364,2)</f>
        <v>0.36</v>
      </c>
      <c r="M34" s="47">
        <f>ROUND(0.806451612903226,2)</f>
        <v>0.81</v>
      </c>
      <c r="N34" s="63">
        <f>ROUND(IF('Bicycle Parking Invest. Input'!$C$8&lt;2020,Database!AH34+('Bicycle Parking Invest. Input'!$C$8-2008)*((Database!AI34-Database!AH34)/12),Database!AI34+('Bicycle Parking Invest. Input'!$C$8-2020)*((Database!AJ34-Database!AI34)/10)),-2)</f>
        <v>31800</v>
      </c>
      <c r="O34" s="80">
        <v>1</v>
      </c>
      <c r="P34" s="82"/>
      <c r="Q34" s="180">
        <v>2.5517241379310347</v>
      </c>
      <c r="R34" s="180">
        <v>4.666666666666667</v>
      </c>
      <c r="S34" s="180">
        <v>2.5454545454545454</v>
      </c>
      <c r="T34" s="180">
        <v>2.4500000000000002</v>
      </c>
      <c r="U34" s="180">
        <v>3.1052631578947367</v>
      </c>
      <c r="V34" s="180">
        <v>2.4500000000000002</v>
      </c>
      <c r="W34" s="82"/>
      <c r="X34" s="82"/>
      <c r="Z34" s="64">
        <v>16423.2</v>
      </c>
      <c r="AA34" s="56">
        <v>17655.5</v>
      </c>
      <c r="AB34" s="56">
        <v>18524.5</v>
      </c>
      <c r="AC34" s="57"/>
      <c r="AD34" s="60">
        <v>0</v>
      </c>
      <c r="AE34" s="60">
        <v>0</v>
      </c>
      <c r="AF34" s="60">
        <v>0</v>
      </c>
      <c r="AG34" s="57"/>
      <c r="AH34" s="59">
        <v>30752.400000000023</v>
      </c>
      <c r="AI34" s="59">
        <v>34012.661805934338</v>
      </c>
      <c r="AJ34" s="59">
        <v>36474.891269178028</v>
      </c>
      <c r="AL34" s="106">
        <v>7.8808944699915555E-3</v>
      </c>
      <c r="AM34" s="108">
        <f>MIN((Database!AL34+('Bicycle Parking Invest. Input'!$C$8-2008)*((Database!AN34-Database!AL34)/12))*100,AP34*100)</f>
        <v>1.0507859293322075</v>
      </c>
      <c r="AN34" s="105">
        <f t="shared" si="0"/>
        <v>1.5761788939983111E-2</v>
      </c>
      <c r="AP34" s="105">
        <f t="shared" si="1"/>
        <v>8.6724313927912008E-2</v>
      </c>
      <c r="AR34" s="311">
        <v>0.24</v>
      </c>
      <c r="AS34" s="311">
        <v>0.03</v>
      </c>
      <c r="AT34" s="311">
        <v>0.18</v>
      </c>
      <c r="AU34" s="311">
        <v>0.27</v>
      </c>
      <c r="AV34" s="311">
        <v>0.06</v>
      </c>
      <c r="AW34" s="311">
        <v>0.21999999999999997</v>
      </c>
      <c r="AY34" s="308">
        <v>0.78</v>
      </c>
      <c r="AZ34" s="308">
        <v>0.14000000000000001</v>
      </c>
      <c r="BA34" s="308">
        <v>0.64</v>
      </c>
      <c r="BB34" s="308">
        <v>0.49</v>
      </c>
      <c r="BC34" s="308">
        <v>0.46</v>
      </c>
      <c r="BD34" s="308">
        <v>0.49000000000000021</v>
      </c>
      <c r="BF34" s="84" t="s">
        <v>331</v>
      </c>
      <c r="BG34" s="84">
        <v>1</v>
      </c>
      <c r="BH34" s="84" t="s">
        <v>331</v>
      </c>
      <c r="BI34" s="84" t="s">
        <v>331</v>
      </c>
      <c r="BJ34" s="84" t="s">
        <v>331</v>
      </c>
      <c r="BK34" s="84" t="s">
        <v>331</v>
      </c>
      <c r="BM34" s="213">
        <v>6</v>
      </c>
      <c r="BN34" s="213">
        <v>4</v>
      </c>
      <c r="BO34" s="209">
        <v>3</v>
      </c>
      <c r="BP34" s="209">
        <v>1</v>
      </c>
      <c r="BQ34" s="209">
        <v>5</v>
      </c>
      <c r="BR34" s="209">
        <v>1</v>
      </c>
      <c r="BT34" s="230">
        <v>2012</v>
      </c>
      <c r="BU34" s="307">
        <f>ROUND(IF(2012&lt;2020,Database!Z34+(2012-2008)*((Database!AA34-Database!Z34)/12),Database!AA34+(2012-2020)*((Database!AB34-Database!AA34)/10)),0)</f>
        <v>16834</v>
      </c>
      <c r="BX34" s="213"/>
    </row>
    <row r="35" spans="1:76" x14ac:dyDescent="0.25">
      <c r="A35" s="45" t="s">
        <v>101</v>
      </c>
      <c r="B35" s="63">
        <f>ROUND(IF('Bicycle Parking Invest. Input'!$C$8&lt;2020,Database!Z35+('Bicycle Parking Invest. Input'!$C$8-2008)*((Database!AA35-Database!Z35)/12),Database!AA35+('Bicycle Parking Invest. Input'!$C$8-2020)*((Database!AB35-Database!AA35)/10)),0)</f>
        <v>7502</v>
      </c>
      <c r="C35" s="63">
        <f>ROUND(IF('Bicycle Parking Invest. Input'!$C$8&lt;2020,Database!AD35+('Bicycle Parking Invest. Input'!$C$8-2008)*((Database!AE35-Database!AD35)/12),Database!AE35+('Bicycle Parking Invest. Input'!$C$8-2020)*((Database!AF35-Database!AE35)/10)),0)</f>
        <v>619</v>
      </c>
      <c r="D35" s="47">
        <f>ROUND(96.9465648854962,0)</f>
        <v>97</v>
      </c>
      <c r="E35" s="47"/>
      <c r="F35" s="49">
        <v>42</v>
      </c>
      <c r="G35" s="49">
        <v>0</v>
      </c>
      <c r="H35" s="49">
        <v>0</v>
      </c>
      <c r="I35" s="49">
        <v>16</v>
      </c>
      <c r="J35" s="49">
        <v>0</v>
      </c>
      <c r="K35" s="49">
        <v>0</v>
      </c>
      <c r="L35" s="47">
        <f>ROUND(0.7,2)</f>
        <v>0.7</v>
      </c>
      <c r="M35" s="47">
        <f>ROUND(0.777777777777778,2)</f>
        <v>0.78</v>
      </c>
      <c r="N35" s="63">
        <f>ROUND(IF('Bicycle Parking Invest. Input'!$C$8&lt;2020,Database!AH35+('Bicycle Parking Invest. Input'!$C$8-2008)*((Database!AI35-Database!AH35)/12),Database!AI35+('Bicycle Parking Invest. Input'!$C$8-2020)*((Database!AJ35-Database!AI35)/10)),-2)</f>
        <v>3700</v>
      </c>
      <c r="O35" s="80">
        <v>3</v>
      </c>
      <c r="P35" s="82"/>
      <c r="Q35" s="180">
        <v>2.2000000000000002</v>
      </c>
      <c r="R35" s="180">
        <v>3.6666666666666665</v>
      </c>
      <c r="S35" s="180">
        <v>3.4285714285714284</v>
      </c>
      <c r="T35" s="180">
        <v>2.75</v>
      </c>
      <c r="U35" s="180">
        <v>2.8</v>
      </c>
      <c r="V35" s="180">
        <v>2.8</v>
      </c>
      <c r="W35" s="82"/>
      <c r="X35" s="82"/>
      <c r="Z35" s="64">
        <v>7467.9046441832388</v>
      </c>
      <c r="AA35" s="56">
        <v>7570.5966681134523</v>
      </c>
      <c r="AB35" s="56">
        <v>7839.3</v>
      </c>
      <c r="AC35" s="57"/>
      <c r="AD35" s="60">
        <v>582</v>
      </c>
      <c r="AE35" s="60">
        <v>693.21019108280257</v>
      </c>
      <c r="AF35" s="60">
        <v>693.21019108280257</v>
      </c>
      <c r="AG35" s="57"/>
      <c r="AH35" s="59">
        <v>3682.3999999999983</v>
      </c>
      <c r="AI35" s="59">
        <v>3835.0326650288653</v>
      </c>
      <c r="AJ35" s="59">
        <v>3956.8214568672242</v>
      </c>
      <c r="AL35" s="106">
        <v>3.8827279014766361E-2</v>
      </c>
      <c r="AM35" s="108">
        <f>MIN((Database!AL35+('Bicycle Parking Invest. Input'!$C$8-2008)*((Database!AN35-Database!AL35)/12))*100,AP35*100)</f>
        <v>5.1769705353021811</v>
      </c>
      <c r="AN35" s="105">
        <f t="shared" si="0"/>
        <v>7.7654558029532722E-2</v>
      </c>
      <c r="AP35" s="105">
        <f t="shared" si="1"/>
        <v>0.12760561445254343</v>
      </c>
      <c r="AR35" s="311">
        <v>0.4</v>
      </c>
      <c r="AS35" s="311">
        <v>0.1</v>
      </c>
      <c r="AT35" s="311">
        <v>0.1</v>
      </c>
      <c r="AU35" s="311">
        <v>0.2</v>
      </c>
      <c r="AV35" s="311">
        <v>0.1</v>
      </c>
      <c r="AW35" s="311">
        <v>9.9999999999999978E-2</v>
      </c>
      <c r="AY35" s="308">
        <v>0.86</v>
      </c>
      <c r="AZ35" s="308">
        <v>0.32</v>
      </c>
      <c r="BA35" s="308">
        <v>0.54</v>
      </c>
      <c r="BB35" s="308">
        <v>0.64</v>
      </c>
      <c r="BC35" s="308">
        <v>0.32</v>
      </c>
      <c r="BD35" s="308">
        <v>0.32000000000000028</v>
      </c>
      <c r="BF35" s="84">
        <v>0.28999999999999998</v>
      </c>
      <c r="BG35" s="84" t="s">
        <v>331</v>
      </c>
      <c r="BH35" s="84" t="s">
        <v>331</v>
      </c>
      <c r="BI35" s="84">
        <v>0</v>
      </c>
      <c r="BJ35" s="84" t="s">
        <v>331</v>
      </c>
      <c r="BK35" s="84" t="s">
        <v>331</v>
      </c>
      <c r="BM35" s="213">
        <v>6</v>
      </c>
      <c r="BN35" s="213">
        <v>1</v>
      </c>
      <c r="BO35" s="209">
        <v>5</v>
      </c>
      <c r="BP35" s="209">
        <v>2</v>
      </c>
      <c r="BQ35" s="209">
        <v>3</v>
      </c>
      <c r="BR35" s="209">
        <v>3</v>
      </c>
      <c r="BT35" s="230">
        <v>2012</v>
      </c>
      <c r="BU35" s="307">
        <f>ROUND(IF(2012&lt;2020,Database!Z35+(2012-2008)*((Database!AA35-Database!Z35)/12),Database!AA35+(2012-2020)*((Database!AB35-Database!AA35)/10)),0)</f>
        <v>7502</v>
      </c>
      <c r="BX35" s="213"/>
    </row>
    <row r="36" spans="1:76" x14ac:dyDescent="0.25">
      <c r="A36" s="45" t="s">
        <v>102</v>
      </c>
      <c r="B36" s="63">
        <f>ROUND(IF('Bicycle Parking Invest. Input'!$C$8&lt;2020,Database!Z36+('Bicycle Parking Invest. Input'!$C$8-2008)*((Database!AA36-Database!Z36)/12),Database!AA36+('Bicycle Parking Invest. Input'!$C$8-2020)*((Database!AB36-Database!AA36)/10)),0)</f>
        <v>6104</v>
      </c>
      <c r="C36" s="63">
        <f>ROUND(IF('Bicycle Parking Invest. Input'!$C$8&lt;2020,Database!AD36+('Bicycle Parking Invest. Input'!$C$8-2008)*((Database!AE36-Database!AD36)/12),Database!AE36+('Bicycle Parking Invest. Input'!$C$8-2020)*((Database!AF36-Database!AE36)/10)),0)</f>
        <v>457</v>
      </c>
      <c r="D36" s="47">
        <f>ROUND(79.6703296703297,0)</f>
        <v>80</v>
      </c>
      <c r="E36" s="47"/>
      <c r="F36" s="49">
        <v>133</v>
      </c>
      <c r="G36" s="49">
        <v>0</v>
      </c>
      <c r="H36" s="49">
        <v>0</v>
      </c>
      <c r="I36" s="49">
        <v>32</v>
      </c>
      <c r="J36" s="49">
        <v>0</v>
      </c>
      <c r="K36" s="49">
        <v>0</v>
      </c>
      <c r="L36" s="47">
        <f>ROUND(0.945945945945946,2)</f>
        <v>0.95</v>
      </c>
      <c r="M36" s="47">
        <f>ROUND(1.26174496644295,2)</f>
        <v>1.26</v>
      </c>
      <c r="N36" s="63">
        <f>ROUND(IF('Bicycle Parking Invest. Input'!$C$8&lt;2020,Database!AH36+('Bicycle Parking Invest. Input'!$C$8-2008)*((Database!AI36-Database!AH36)/12),Database!AI36+('Bicycle Parking Invest. Input'!$C$8-2020)*((Database!AJ36-Database!AI36)/10)),-2)</f>
        <v>4900</v>
      </c>
      <c r="O36" s="80">
        <v>3</v>
      </c>
      <c r="P36" s="82"/>
      <c r="Q36" s="180">
        <v>2.6694915254237288</v>
      </c>
      <c r="R36" s="180">
        <v>4.3960396039603964</v>
      </c>
      <c r="S36" s="180">
        <v>3.4086021505376345</v>
      </c>
      <c r="T36" s="180">
        <v>2.4693877551020407</v>
      </c>
      <c r="U36" s="180">
        <v>3.0227272727272729</v>
      </c>
      <c r="V36" s="180">
        <v>2.4</v>
      </c>
      <c r="W36" s="82"/>
      <c r="X36" s="82"/>
      <c r="Z36" s="64">
        <v>6095.0749999999989</v>
      </c>
      <c r="AA36" s="56">
        <v>6122.166666666667</v>
      </c>
      <c r="AB36" s="56">
        <v>6137.5</v>
      </c>
      <c r="AC36" s="57"/>
      <c r="AD36" s="60">
        <v>457</v>
      </c>
      <c r="AE36" s="60">
        <v>457</v>
      </c>
      <c r="AF36" s="60">
        <v>457</v>
      </c>
      <c r="AG36" s="57"/>
      <c r="AH36" s="59">
        <v>4844.600000000014</v>
      </c>
      <c r="AI36" s="59">
        <v>4889.3139736095382</v>
      </c>
      <c r="AJ36" s="59">
        <v>4916.9886511736004</v>
      </c>
      <c r="AL36" s="106">
        <v>4.9941160957270518E-2</v>
      </c>
      <c r="AM36" s="108">
        <f>MIN((Database!AL36+('Bicycle Parking Invest. Input'!$C$8-2008)*((Database!AN36-Database!AL36)/12))*100,AP36*100)</f>
        <v>6.6588214609694028</v>
      </c>
      <c r="AN36" s="105">
        <f t="shared" si="0"/>
        <v>9.9882321914541036E-2</v>
      </c>
      <c r="AP36" s="105">
        <f t="shared" si="1"/>
        <v>0.12760561445254343</v>
      </c>
      <c r="AR36" s="311">
        <v>0.26</v>
      </c>
      <c r="AS36" s="311">
        <v>0.06</v>
      </c>
      <c r="AT36" s="311">
        <v>0.13</v>
      </c>
      <c r="AU36" s="311">
        <v>0.24</v>
      </c>
      <c r="AV36" s="311">
        <v>0.08</v>
      </c>
      <c r="AW36" s="311">
        <v>0.23000000000000009</v>
      </c>
      <c r="AY36" s="308">
        <v>0.66</v>
      </c>
      <c r="AZ36" s="308">
        <v>0.26</v>
      </c>
      <c r="BA36" s="308">
        <v>0.39</v>
      </c>
      <c r="BB36" s="308">
        <v>0.55000000000000004</v>
      </c>
      <c r="BC36" s="308">
        <v>0.46</v>
      </c>
      <c r="BD36" s="308">
        <v>0.67999999999999972</v>
      </c>
      <c r="BF36" s="84">
        <v>0.54</v>
      </c>
      <c r="BG36" s="84" t="s">
        <v>331</v>
      </c>
      <c r="BH36" s="84" t="s">
        <v>331</v>
      </c>
      <c r="BI36" s="84">
        <v>0.5</v>
      </c>
      <c r="BJ36" s="84" t="s">
        <v>331</v>
      </c>
      <c r="BK36" s="84" t="s">
        <v>331</v>
      </c>
      <c r="BM36" s="213">
        <v>6</v>
      </c>
      <c r="BN36" s="213">
        <v>3</v>
      </c>
      <c r="BO36" s="209">
        <v>5</v>
      </c>
      <c r="BP36" s="209">
        <v>2</v>
      </c>
      <c r="BQ36" s="209">
        <v>4</v>
      </c>
      <c r="BR36" s="209">
        <v>1</v>
      </c>
      <c r="BT36" s="230">
        <v>2012</v>
      </c>
      <c r="BU36" s="307">
        <f>ROUND(IF(2012&lt;2020,Database!Z36+(2012-2008)*((Database!AA36-Database!Z36)/12),Database!AA36+(2012-2020)*((Database!AB36-Database!AA36)/10)),0)</f>
        <v>6104</v>
      </c>
      <c r="BX36" s="213"/>
    </row>
    <row r="37" spans="1:76" x14ac:dyDescent="0.25">
      <c r="A37" s="45" t="s">
        <v>103</v>
      </c>
      <c r="B37" s="63">
        <f>ROUND(IF('Bicycle Parking Invest. Input'!$C$8&lt;2020,Database!Z37+('Bicycle Parking Invest. Input'!$C$8-2008)*((Database!AA37-Database!Z37)/12),Database!AA37+('Bicycle Parking Invest. Input'!$C$8-2020)*((Database!AB37-Database!AA37)/10)),0)</f>
        <v>1996</v>
      </c>
      <c r="C37" s="63">
        <f>ROUND(IF('Bicycle Parking Invest. Input'!$C$8&lt;2020,Database!AD37+('Bicycle Parking Invest. Input'!$C$8-2008)*((Database!AE37-Database!AD37)/12),Database!AE37+('Bicycle Parking Invest. Input'!$C$8-2020)*((Database!AF37-Database!AE37)/10)),0)</f>
        <v>733</v>
      </c>
      <c r="D37" s="47">
        <f>ROUND(95.0191570881226,0)</f>
        <v>95</v>
      </c>
      <c r="E37" s="47"/>
      <c r="F37" s="49">
        <v>18</v>
      </c>
      <c r="G37" s="49">
        <v>0</v>
      </c>
      <c r="H37" s="49">
        <v>0</v>
      </c>
      <c r="I37" s="49">
        <v>0</v>
      </c>
      <c r="J37" s="49">
        <v>0</v>
      </c>
      <c r="K37" s="49">
        <v>0</v>
      </c>
      <c r="L37" s="47">
        <f>ROUND(0.5,2)</f>
        <v>0.5</v>
      </c>
      <c r="M37" s="47">
        <f>ROUND(2,2)</f>
        <v>2</v>
      </c>
      <c r="N37" s="63">
        <f>ROUND(IF('Bicycle Parking Invest. Input'!$C$8&lt;2020,Database!AH37+('Bicycle Parking Invest. Input'!$C$8-2008)*((Database!AI37-Database!AH37)/12),Database!AI37+('Bicycle Parking Invest. Input'!$C$8-2020)*((Database!AJ37-Database!AI37)/10)),-2)</f>
        <v>2600</v>
      </c>
      <c r="O37" s="80">
        <v>5</v>
      </c>
      <c r="P37" s="82"/>
      <c r="Q37" s="180">
        <v>2.5</v>
      </c>
      <c r="R37" s="180">
        <v>4.5</v>
      </c>
      <c r="S37" s="180">
        <v>3</v>
      </c>
      <c r="T37" s="180">
        <v>2.5</v>
      </c>
      <c r="U37" s="180">
        <v>3</v>
      </c>
      <c r="V37" s="180">
        <v>5.5</v>
      </c>
      <c r="W37" s="82"/>
      <c r="X37" s="82"/>
      <c r="Z37" s="64">
        <v>1915.94</v>
      </c>
      <c r="AA37" s="56">
        <v>2157.1999999999998</v>
      </c>
      <c r="AB37" s="56">
        <v>2359.5500000000002</v>
      </c>
      <c r="AC37" s="57"/>
      <c r="AD37" s="60">
        <v>733</v>
      </c>
      <c r="AE37" s="60">
        <v>733</v>
      </c>
      <c r="AF37" s="60">
        <v>733</v>
      </c>
      <c r="AG37" s="57"/>
      <c r="AH37" s="59">
        <v>2471.7999999999997</v>
      </c>
      <c r="AI37" s="59">
        <v>2783.7139909152957</v>
      </c>
      <c r="AJ37" s="59">
        <v>3045.2267800423388</v>
      </c>
      <c r="AL37" s="106">
        <v>2.9864775959485369E-2</v>
      </c>
      <c r="AM37" s="108">
        <f>MIN((Database!AL37+('Bicycle Parking Invest. Input'!$C$8-2008)*((Database!AN37-Database!AL37)/12))*100,AP37*100)</f>
        <v>3.9819701279313828</v>
      </c>
      <c r="AN37" s="105">
        <f t="shared" si="0"/>
        <v>5.9729551918970739E-2</v>
      </c>
      <c r="AP37" s="105">
        <f t="shared" si="1"/>
        <v>8.1942294609724686E-2</v>
      </c>
      <c r="AR37" s="311">
        <v>0</v>
      </c>
      <c r="AS37" s="311">
        <v>0</v>
      </c>
      <c r="AT37" s="311">
        <v>0</v>
      </c>
      <c r="AU37" s="311">
        <v>0.5</v>
      </c>
      <c r="AV37" s="311">
        <v>0.5</v>
      </c>
      <c r="AW37" s="311">
        <v>0</v>
      </c>
      <c r="AY37" s="308">
        <v>1</v>
      </c>
      <c r="AZ37" s="308">
        <v>0.5</v>
      </c>
      <c r="BA37" s="308">
        <v>0.5</v>
      </c>
      <c r="BB37" s="308">
        <v>0.5</v>
      </c>
      <c r="BC37" s="308">
        <v>0.5</v>
      </c>
      <c r="BD37" s="308">
        <v>0</v>
      </c>
      <c r="BF37" s="84">
        <v>0.5</v>
      </c>
      <c r="BG37" s="84" t="s">
        <v>331</v>
      </c>
      <c r="BH37" s="84" t="s">
        <v>331</v>
      </c>
      <c r="BI37" s="84" t="s">
        <v>331</v>
      </c>
      <c r="BJ37" s="84" t="s">
        <v>331</v>
      </c>
      <c r="BK37" s="84" t="s">
        <v>331</v>
      </c>
      <c r="BM37" s="213">
        <v>5</v>
      </c>
      <c r="BN37" s="213">
        <v>1</v>
      </c>
      <c r="BO37" s="209">
        <v>3</v>
      </c>
      <c r="BP37" s="209">
        <v>1</v>
      </c>
      <c r="BQ37" s="209">
        <v>3</v>
      </c>
      <c r="BR37" s="209">
        <v>6</v>
      </c>
      <c r="BT37" s="230">
        <v>2012</v>
      </c>
      <c r="BU37" s="307">
        <f>ROUND(IF(2012&lt;2020,Database!Z37+(2012-2008)*((Database!AA37-Database!Z37)/12),Database!AA37+(2012-2020)*((Database!AB37-Database!AA37)/10)),0)</f>
        <v>1996</v>
      </c>
      <c r="BX37" s="213"/>
    </row>
    <row r="38" spans="1:76" x14ac:dyDescent="0.25">
      <c r="A38" s="45" t="s">
        <v>104</v>
      </c>
      <c r="B38" s="63">
        <f>ROUND(IF('Bicycle Parking Invest. Input'!$C$8&lt;2020,Database!Z38+('Bicycle Parking Invest. Input'!$C$8-2008)*((Database!AA38-Database!Z38)/12),Database!AA38+('Bicycle Parking Invest. Input'!$C$8-2020)*((Database!AB38-Database!AA38)/10)),0)</f>
        <v>5912</v>
      </c>
      <c r="C38" s="63">
        <f>ROUND(IF('Bicycle Parking Invest. Input'!$C$8&lt;2020,Database!AD38+('Bicycle Parking Invest. Input'!$C$8-2008)*((Database!AE38-Database!AD38)/12),Database!AE38+('Bicycle Parking Invest. Input'!$C$8-2020)*((Database!AF38-Database!AE38)/10)),0)</f>
        <v>1077</v>
      </c>
      <c r="D38" s="47">
        <f>ROUND(92.1182266009852,0)</f>
        <v>92</v>
      </c>
      <c r="E38" s="47"/>
      <c r="F38" s="49">
        <v>93</v>
      </c>
      <c r="G38" s="49">
        <v>0</v>
      </c>
      <c r="H38" s="49">
        <v>12</v>
      </c>
      <c r="I38" s="49">
        <v>20</v>
      </c>
      <c r="J38" s="49">
        <v>0</v>
      </c>
      <c r="K38" s="49">
        <v>0</v>
      </c>
      <c r="L38" s="47">
        <f>ROUND(1.27777777777778,2)</f>
        <v>1.28</v>
      </c>
      <c r="M38" s="47">
        <f>ROUND(1.24324324324324,2)</f>
        <v>1.24</v>
      </c>
      <c r="N38" s="63">
        <f>ROUND(IF('Bicycle Parking Invest. Input'!$C$8&lt;2020,Database!AH38+('Bicycle Parking Invest. Input'!$C$8-2008)*((Database!AI38-Database!AH38)/12),Database!AI38+('Bicycle Parking Invest. Input'!$C$8-2020)*((Database!AJ38-Database!AI38)/10)),-2)</f>
        <v>5400</v>
      </c>
      <c r="O38" s="80">
        <v>3</v>
      </c>
      <c r="P38" s="82"/>
      <c r="Q38" s="180">
        <v>3.3181818181818183</v>
      </c>
      <c r="R38" s="180">
        <v>5.1875</v>
      </c>
      <c r="S38" s="180">
        <v>3.2380952380952381</v>
      </c>
      <c r="T38" s="180">
        <v>1.7666666666666666</v>
      </c>
      <c r="U38" s="180">
        <v>3.2380952380952381</v>
      </c>
      <c r="V38" s="180">
        <v>2.1363636363636362</v>
      </c>
      <c r="W38" s="82"/>
      <c r="X38" s="82"/>
      <c r="Z38" s="64">
        <v>5591.28</v>
      </c>
      <c r="AA38" s="56">
        <v>6552.4333333333334</v>
      </c>
      <c r="AB38" s="56">
        <v>7321</v>
      </c>
      <c r="AC38" s="57"/>
      <c r="AD38" s="60">
        <v>1077</v>
      </c>
      <c r="AE38" s="60">
        <v>1077</v>
      </c>
      <c r="AF38" s="60">
        <v>1077</v>
      </c>
      <c r="AG38" s="57"/>
      <c r="AH38" s="59">
        <v>5315.5999999999913</v>
      </c>
      <c r="AI38" s="59">
        <v>5690.2985437285515</v>
      </c>
      <c r="AJ38" s="59">
        <v>6020.1872132875787</v>
      </c>
      <c r="AL38" s="106">
        <v>4.6888059217934056E-2</v>
      </c>
      <c r="AM38" s="108">
        <f>MIN((Database!AL38+('Bicycle Parking Invest. Input'!$C$8-2008)*((Database!AN38-Database!AL38)/12))*100,AP38*100)</f>
        <v>6.251741229057874</v>
      </c>
      <c r="AN38" s="105">
        <f t="shared" si="0"/>
        <v>9.3776118435868111E-2</v>
      </c>
      <c r="AP38" s="105">
        <f t="shared" si="1"/>
        <v>0.12760561445254343</v>
      </c>
      <c r="AR38" s="311">
        <v>0.03</v>
      </c>
      <c r="AS38" s="311">
        <v>0.03</v>
      </c>
      <c r="AT38" s="311">
        <v>0.09</v>
      </c>
      <c r="AU38" s="311">
        <v>0.62</v>
      </c>
      <c r="AV38" s="311">
        <v>0</v>
      </c>
      <c r="AW38" s="311">
        <v>0.22999999999999998</v>
      </c>
      <c r="AY38" s="308">
        <v>0.5</v>
      </c>
      <c r="AZ38" s="308">
        <v>7.0000000000000007E-2</v>
      </c>
      <c r="BA38" s="308">
        <v>0.39</v>
      </c>
      <c r="BB38" s="308">
        <v>0.93</v>
      </c>
      <c r="BC38" s="308">
        <v>0.43</v>
      </c>
      <c r="BD38" s="308">
        <v>0.67999999999999972</v>
      </c>
      <c r="BF38" s="84">
        <v>0.24</v>
      </c>
      <c r="BG38" s="84" t="s">
        <v>331</v>
      </c>
      <c r="BH38" s="84">
        <v>0.33</v>
      </c>
      <c r="BI38" s="84">
        <v>1</v>
      </c>
      <c r="BJ38" s="84" t="s">
        <v>331</v>
      </c>
      <c r="BK38" s="84" t="s">
        <v>331</v>
      </c>
      <c r="BM38" s="213">
        <v>6</v>
      </c>
      <c r="BN38" s="213">
        <v>5</v>
      </c>
      <c r="BO38" s="209">
        <v>3</v>
      </c>
      <c r="BP38" s="209">
        <v>1</v>
      </c>
      <c r="BQ38" s="209">
        <v>3</v>
      </c>
      <c r="BR38" s="209">
        <v>2</v>
      </c>
      <c r="BT38" s="230">
        <v>2012</v>
      </c>
      <c r="BU38" s="307">
        <f>ROUND(IF(2012&lt;2020,Database!Z38+(2012-2008)*((Database!AA38-Database!Z38)/12),Database!AA38+(2012-2020)*((Database!AB38-Database!AA38)/10)),0)</f>
        <v>5912</v>
      </c>
      <c r="BX38" s="213"/>
    </row>
    <row r="39" spans="1:76" x14ac:dyDescent="0.25">
      <c r="A39" s="45" t="s">
        <v>105</v>
      </c>
      <c r="B39" s="63">
        <f>ROUND(IF('Bicycle Parking Invest. Input'!$C$8&lt;2020,Database!Z39+('Bicycle Parking Invest. Input'!$C$8-2008)*((Database!AA39-Database!Z39)/12),Database!AA39+('Bicycle Parking Invest. Input'!$C$8-2020)*((Database!AB39-Database!AA39)/10)),0)</f>
        <v>5039</v>
      </c>
      <c r="C39" s="63">
        <f>ROUND(IF('Bicycle Parking Invest. Input'!$C$8&lt;2020,Database!AD39+('Bicycle Parking Invest. Input'!$C$8-2008)*((Database!AE39-Database!AD39)/12),Database!AE39+('Bicycle Parking Invest. Input'!$C$8-2020)*((Database!AF39-Database!AE39)/10)),0)</f>
        <v>1005</v>
      </c>
      <c r="D39" s="47">
        <f>ROUND(97.265625,0)</f>
        <v>97</v>
      </c>
      <c r="E39" s="47"/>
      <c r="F39" s="49">
        <v>56</v>
      </c>
      <c r="G39" s="49">
        <v>0</v>
      </c>
      <c r="H39" s="49">
        <v>0</v>
      </c>
      <c r="I39" s="49">
        <v>0</v>
      </c>
      <c r="J39" s="49">
        <v>0</v>
      </c>
      <c r="K39" s="49">
        <v>0</v>
      </c>
      <c r="L39" s="47">
        <f>ROUND(0.666666666666667,2)</f>
        <v>0.67</v>
      </c>
      <c r="M39" s="47">
        <f>ROUND(0.833333333333333,2)</f>
        <v>0.83</v>
      </c>
      <c r="N39" s="63">
        <f>ROUND(IF('Bicycle Parking Invest. Input'!$C$8&lt;2020,Database!AH39+('Bicycle Parking Invest. Input'!$C$8-2008)*((Database!AI39-Database!AH39)/12),Database!AI39+('Bicycle Parking Invest. Input'!$C$8-2020)*((Database!AJ39-Database!AI39)/10)),-2)</f>
        <v>3500</v>
      </c>
      <c r="O39" s="80">
        <v>5</v>
      </c>
      <c r="P39" s="82"/>
      <c r="Q39" s="180">
        <v>1.75</v>
      </c>
      <c r="R39" s="180">
        <v>6</v>
      </c>
      <c r="S39" s="180">
        <v>3.25</v>
      </c>
      <c r="T39" s="180">
        <v>2.3333333333333335</v>
      </c>
      <c r="U39" s="180">
        <v>2</v>
      </c>
      <c r="V39" s="180">
        <v>2.75</v>
      </c>
      <c r="W39" s="82"/>
      <c r="X39" s="82"/>
      <c r="Z39" s="64">
        <v>4304.4250000000002</v>
      </c>
      <c r="AA39" s="56">
        <v>6508.7333333333336</v>
      </c>
      <c r="AB39" s="56">
        <v>10216.299999999999</v>
      </c>
      <c r="AC39" s="57"/>
      <c r="AD39" s="60">
        <v>1005</v>
      </c>
      <c r="AE39" s="60">
        <v>1005</v>
      </c>
      <c r="AF39" s="60">
        <v>1005</v>
      </c>
      <c r="AG39" s="57"/>
      <c r="AH39" s="59">
        <v>3296.3999999999992</v>
      </c>
      <c r="AI39" s="59">
        <v>3907.9104315677869</v>
      </c>
      <c r="AJ39" s="59">
        <v>4916.3991796931159</v>
      </c>
      <c r="AL39" s="106">
        <v>4.7394488222768573E-2</v>
      </c>
      <c r="AM39" s="108">
        <f>MIN((Database!AL39+('Bicycle Parking Invest. Input'!$C$8-2008)*((Database!AN39-Database!AL39)/12))*100,AP39*100)</f>
        <v>6.3192650963691435</v>
      </c>
      <c r="AN39" s="105">
        <f t="shared" si="0"/>
        <v>9.4788976445537146E-2</v>
      </c>
      <c r="AP39" s="105">
        <f t="shared" si="1"/>
        <v>8.1942294609724686E-2</v>
      </c>
      <c r="AR39" s="311">
        <v>0.33</v>
      </c>
      <c r="AS39" s="311">
        <v>0</v>
      </c>
      <c r="AT39" s="311">
        <v>0.17</v>
      </c>
      <c r="AU39" s="311">
        <v>0</v>
      </c>
      <c r="AV39" s="311">
        <v>0.33</v>
      </c>
      <c r="AW39" s="311">
        <v>0.16999999999999993</v>
      </c>
      <c r="AY39" s="308">
        <v>0.86</v>
      </c>
      <c r="AZ39" s="308">
        <v>0</v>
      </c>
      <c r="BA39" s="308">
        <v>0.43</v>
      </c>
      <c r="BB39" s="308">
        <v>0.64</v>
      </c>
      <c r="BC39" s="308">
        <v>0.43</v>
      </c>
      <c r="BD39" s="308">
        <v>0.63999999999999968</v>
      </c>
      <c r="BF39" s="84">
        <v>0.16</v>
      </c>
      <c r="BG39" s="84" t="s">
        <v>331</v>
      </c>
      <c r="BH39" s="84" t="s">
        <v>331</v>
      </c>
      <c r="BI39" s="84" t="s">
        <v>331</v>
      </c>
      <c r="BJ39" s="84" t="s">
        <v>331</v>
      </c>
      <c r="BK39" s="84" t="s">
        <v>331</v>
      </c>
      <c r="BM39" s="213">
        <v>6</v>
      </c>
      <c r="BN39" s="213">
        <v>1</v>
      </c>
      <c r="BO39" s="209">
        <v>5</v>
      </c>
      <c r="BP39" s="209">
        <v>3</v>
      </c>
      <c r="BQ39" s="209">
        <v>2</v>
      </c>
      <c r="BR39" s="209">
        <v>4</v>
      </c>
      <c r="BT39" s="230">
        <v>2012</v>
      </c>
      <c r="BU39" s="307">
        <f>ROUND(IF(2012&lt;2020,Database!Z39+(2012-2008)*((Database!AA39-Database!Z39)/12),Database!AA39+(2012-2020)*((Database!AB39-Database!AA39)/10)),0)</f>
        <v>5039</v>
      </c>
      <c r="BX39" s="213"/>
    </row>
    <row r="40" spans="1:76" x14ac:dyDescent="0.25">
      <c r="A40" s="45" t="s">
        <v>106</v>
      </c>
      <c r="B40" s="63">
        <f>ROUND(IF('Bicycle Parking Invest. Input'!$C$8&lt;2020,Database!Z40+('Bicycle Parking Invest. Input'!$C$8-2008)*((Database!AA40-Database!Z40)/12),Database!AA40+('Bicycle Parking Invest. Input'!$C$8-2020)*((Database!AB40-Database!AA40)/10)),0)</f>
        <v>3802</v>
      </c>
      <c r="C40" s="63">
        <f>ROUND(IF('Bicycle Parking Invest. Input'!$C$8&lt;2020,Database!AD40+('Bicycle Parking Invest. Input'!$C$8-2008)*((Database!AE40-Database!AD40)/12),Database!AE40+('Bicycle Parking Invest. Input'!$C$8-2020)*((Database!AF40-Database!AE40)/10)),0)</f>
        <v>1247</v>
      </c>
      <c r="D40" s="47">
        <f>ROUND(95.0191570881226,0)</f>
        <v>95</v>
      </c>
      <c r="E40" s="47"/>
      <c r="F40" s="49">
        <v>30</v>
      </c>
      <c r="G40" s="49">
        <v>0</v>
      </c>
      <c r="H40" s="49">
        <v>0</v>
      </c>
      <c r="I40" s="49">
        <v>0</v>
      </c>
      <c r="J40" s="49">
        <v>0</v>
      </c>
      <c r="K40" s="49">
        <v>0</v>
      </c>
      <c r="L40" s="47">
        <f>ROUND(0.714285714285714,2)</f>
        <v>0.71</v>
      </c>
      <c r="M40" s="47">
        <f>ROUND(1.14285714285714,2)</f>
        <v>1.1399999999999999</v>
      </c>
      <c r="N40" s="63">
        <f>ROUND(IF('Bicycle Parking Invest. Input'!$C$8&lt;2020,Database!AH40+('Bicycle Parking Invest. Input'!$C$8-2008)*((Database!AI40-Database!AH40)/12),Database!AI40+('Bicycle Parking Invest. Input'!$C$8-2020)*((Database!AJ40-Database!AI40)/10)),-2)</f>
        <v>3100</v>
      </c>
      <c r="O40" s="80">
        <v>5</v>
      </c>
      <c r="P40" s="82"/>
      <c r="Q40" s="180">
        <v>3.8571428571428572</v>
      </c>
      <c r="R40" s="180">
        <v>4.5714285714285712</v>
      </c>
      <c r="S40" s="180">
        <v>2.8571428571428572</v>
      </c>
      <c r="T40" s="180">
        <v>4.2857142857142856</v>
      </c>
      <c r="U40" s="180">
        <v>2.8571428571428572</v>
      </c>
      <c r="V40" s="180">
        <v>2.5714285714285716</v>
      </c>
      <c r="W40" s="82"/>
      <c r="X40" s="82"/>
      <c r="Z40" s="64">
        <v>3653.11</v>
      </c>
      <c r="AA40" s="56">
        <v>4100.6000000000004</v>
      </c>
      <c r="AB40" s="56">
        <v>4409.25</v>
      </c>
      <c r="AC40" s="57"/>
      <c r="AD40" s="60">
        <v>1247</v>
      </c>
      <c r="AE40" s="60">
        <v>1247</v>
      </c>
      <c r="AF40" s="60">
        <v>1247</v>
      </c>
      <c r="AG40" s="57"/>
      <c r="AH40" s="59">
        <v>3005.999999999995</v>
      </c>
      <c r="AI40" s="59">
        <v>3252.6940613149491</v>
      </c>
      <c r="AJ40" s="59">
        <v>3441.155508415357</v>
      </c>
      <c r="AL40" s="106">
        <v>1.075543319755745E-2</v>
      </c>
      <c r="AM40" s="108">
        <f>MIN((Database!AL40+('Bicycle Parking Invest. Input'!$C$8-2008)*((Database!AN40-Database!AL40)/12))*100,AP40*100)</f>
        <v>1.4340577596743267</v>
      </c>
      <c r="AN40" s="105">
        <f t="shared" si="0"/>
        <v>2.1510866395114899E-2</v>
      </c>
      <c r="AP40" s="105">
        <f t="shared" si="1"/>
        <v>8.1942294609724686E-2</v>
      </c>
      <c r="AR40" s="311">
        <v>0.14000000000000001</v>
      </c>
      <c r="AS40" s="311">
        <v>0.14000000000000001</v>
      </c>
      <c r="AT40" s="311">
        <v>0.28999999999999998</v>
      </c>
      <c r="AU40" s="311">
        <v>0</v>
      </c>
      <c r="AV40" s="311">
        <v>0</v>
      </c>
      <c r="AW40" s="311">
        <v>0.42999999999999994</v>
      </c>
      <c r="AY40" s="308">
        <v>0.43</v>
      </c>
      <c r="AZ40" s="308">
        <v>0.28999999999999998</v>
      </c>
      <c r="BA40" s="308">
        <v>0.56999999999999995</v>
      </c>
      <c r="BB40" s="308">
        <v>0.14000000000000001</v>
      </c>
      <c r="BC40" s="308">
        <v>0.86</v>
      </c>
      <c r="BD40" s="308">
        <v>0.71</v>
      </c>
      <c r="BF40" s="84">
        <v>7.0000000000000007E-2</v>
      </c>
      <c r="BG40" s="84" t="s">
        <v>331</v>
      </c>
      <c r="BH40" s="84" t="s">
        <v>331</v>
      </c>
      <c r="BI40" s="84" t="s">
        <v>331</v>
      </c>
      <c r="BJ40" s="84" t="s">
        <v>331</v>
      </c>
      <c r="BK40" s="84" t="s">
        <v>331</v>
      </c>
      <c r="BM40" s="213">
        <v>6</v>
      </c>
      <c r="BN40" s="213">
        <v>4</v>
      </c>
      <c r="BO40" s="209">
        <v>2</v>
      </c>
      <c r="BP40" s="209">
        <v>5</v>
      </c>
      <c r="BQ40" s="209">
        <v>2</v>
      </c>
      <c r="BR40" s="209">
        <v>1</v>
      </c>
      <c r="BT40" s="230">
        <v>2012</v>
      </c>
      <c r="BU40" s="307">
        <f>ROUND(IF(2012&lt;2020,Database!Z40+(2012-2008)*((Database!AA40-Database!Z40)/12),Database!AA40+(2012-2020)*((Database!AB40-Database!AA40)/10)),0)</f>
        <v>3802</v>
      </c>
      <c r="BX40" s="213"/>
    </row>
    <row r="41" spans="1:76" x14ac:dyDescent="0.25">
      <c r="A41" s="45" t="s">
        <v>107</v>
      </c>
      <c r="B41" s="63">
        <f>ROUND(IF('Bicycle Parking Invest. Input'!$C$8&lt;2020,Database!Z41+('Bicycle Parking Invest. Input'!$C$8-2008)*((Database!AA41-Database!Z41)/12),Database!AA41+('Bicycle Parking Invest. Input'!$C$8-2020)*((Database!AB41-Database!AA41)/10)),0)</f>
        <v>5335</v>
      </c>
      <c r="C41" s="63">
        <f>ROUND(IF('Bicycle Parking Invest. Input'!$C$8&lt;2020,Database!AD41+('Bicycle Parking Invest. Input'!$C$8-2008)*((Database!AE41-Database!AD41)/12),Database!AE41+('Bicycle Parking Invest. Input'!$C$8-2020)*((Database!AF41-Database!AE41)/10)),0)</f>
        <v>896</v>
      </c>
      <c r="D41" s="47">
        <f>ROUND(97.265625,0)</f>
        <v>97</v>
      </c>
      <c r="E41" s="47"/>
      <c r="F41" s="49">
        <v>8</v>
      </c>
      <c r="G41" s="49">
        <v>0</v>
      </c>
      <c r="H41" s="49">
        <v>20</v>
      </c>
      <c r="I41" s="49">
        <v>0</v>
      </c>
      <c r="J41" s="49">
        <v>0</v>
      </c>
      <c r="K41" s="49">
        <v>0</v>
      </c>
      <c r="L41" s="47">
        <f>ROUND(0.619047619047619,2)</f>
        <v>0.62</v>
      </c>
      <c r="M41" s="47">
        <f>ROUND(1.15,2)</f>
        <v>1.1499999999999999</v>
      </c>
      <c r="N41" s="63">
        <f>ROUND(IF('Bicycle Parking Invest. Input'!$C$8&lt;2020,Database!AH41+('Bicycle Parking Invest. Input'!$C$8-2008)*((Database!AI41-Database!AH41)/12),Database!AI41+('Bicycle Parking Invest. Input'!$C$8-2020)*((Database!AJ41-Database!AI41)/10)),-2)</f>
        <v>4200</v>
      </c>
      <c r="O41" s="80">
        <v>4</v>
      </c>
      <c r="P41" s="82"/>
      <c r="Q41" s="180">
        <v>2.8421052631578947</v>
      </c>
      <c r="R41" s="180">
        <v>5.0625</v>
      </c>
      <c r="S41" s="180">
        <v>3.6111111111111112</v>
      </c>
      <c r="T41" s="180">
        <v>3.1052631578947367</v>
      </c>
      <c r="U41" s="180">
        <v>2.9333333333333331</v>
      </c>
      <c r="V41" s="180">
        <v>1.7894736842105263</v>
      </c>
      <c r="W41" s="82"/>
      <c r="X41" s="82"/>
      <c r="Z41" s="64">
        <v>4935.8850000000002</v>
      </c>
      <c r="AA41" s="56">
        <v>6132.5666666666675</v>
      </c>
      <c r="AB41" s="56">
        <v>7406.7</v>
      </c>
      <c r="AC41" s="57"/>
      <c r="AD41" s="60">
        <v>896</v>
      </c>
      <c r="AE41" s="60">
        <v>896</v>
      </c>
      <c r="AF41" s="60">
        <v>896</v>
      </c>
      <c r="AG41" s="57"/>
      <c r="AH41" s="59">
        <v>4011.4</v>
      </c>
      <c r="AI41" s="59">
        <v>4548.4743874246014</v>
      </c>
      <c r="AJ41" s="59">
        <v>5121.4631371154719</v>
      </c>
      <c r="AL41" s="106">
        <v>2.0662924303745098E-2</v>
      </c>
      <c r="AM41" s="108">
        <f>MIN((Database!AL41+('Bicycle Parking Invest. Input'!$C$8-2008)*((Database!AN41-Database!AL41)/12))*100,AP41*100)</f>
        <v>2.7550565738326798</v>
      </c>
      <c r="AN41" s="105">
        <f t="shared" si="0"/>
        <v>4.1325848607490195E-2</v>
      </c>
      <c r="AP41" s="105">
        <f t="shared" si="1"/>
        <v>8.4195848487075578E-2</v>
      </c>
      <c r="AR41" s="311">
        <v>0.27</v>
      </c>
      <c r="AS41" s="311">
        <v>0.05</v>
      </c>
      <c r="AT41" s="311">
        <v>0.14000000000000001</v>
      </c>
      <c r="AU41" s="311">
        <v>0.09</v>
      </c>
      <c r="AV41" s="311">
        <v>0.05</v>
      </c>
      <c r="AW41" s="311">
        <v>0.39999999999999991</v>
      </c>
      <c r="AY41" s="308">
        <v>0.56999999999999995</v>
      </c>
      <c r="AZ41" s="308">
        <v>0.14000000000000001</v>
      </c>
      <c r="BA41" s="308">
        <v>0.33</v>
      </c>
      <c r="BB41" s="308">
        <v>0.52</v>
      </c>
      <c r="BC41" s="308">
        <v>0.56999999999999995</v>
      </c>
      <c r="BD41" s="308">
        <v>0.87000000000000011</v>
      </c>
      <c r="BF41" s="84">
        <v>0.38</v>
      </c>
      <c r="BG41" s="84" t="s">
        <v>331</v>
      </c>
      <c r="BH41" s="84">
        <v>0.35</v>
      </c>
      <c r="BI41" s="84" t="s">
        <v>331</v>
      </c>
      <c r="BJ41" s="84" t="s">
        <v>331</v>
      </c>
      <c r="BK41" s="84" t="s">
        <v>331</v>
      </c>
      <c r="BM41" s="213">
        <v>6</v>
      </c>
      <c r="BN41" s="213">
        <v>2</v>
      </c>
      <c r="BO41" s="209">
        <v>5</v>
      </c>
      <c r="BP41" s="209">
        <v>4</v>
      </c>
      <c r="BQ41" s="209">
        <v>3</v>
      </c>
      <c r="BR41" s="209">
        <v>1</v>
      </c>
      <c r="BT41" s="230">
        <v>2012</v>
      </c>
      <c r="BU41" s="307">
        <f>ROUND(IF(2012&lt;2020,Database!Z41+(2012-2008)*((Database!AA41-Database!Z41)/12),Database!AA41+(2012-2020)*((Database!AB41-Database!AA41)/10)),0)</f>
        <v>5335</v>
      </c>
      <c r="BX41" s="213"/>
    </row>
    <row r="42" spans="1:76" x14ac:dyDescent="0.25">
      <c r="A42" s="45" t="s">
        <v>108</v>
      </c>
      <c r="B42" s="63">
        <f>ROUND(IF('Bicycle Parking Invest. Input'!$C$8&lt;2020,Database!Z42+('Bicycle Parking Invest. Input'!$C$8-2008)*((Database!AA42-Database!Z42)/12),Database!AA42+('Bicycle Parking Invest. Input'!$C$8-2020)*((Database!AB42-Database!AA42)/10)),0)</f>
        <v>3875</v>
      </c>
      <c r="C42" s="63">
        <f>ROUND(IF('Bicycle Parking Invest. Input'!$C$8&lt;2020,Database!AD42+('Bicycle Parking Invest. Input'!$C$8-2008)*((Database!AE42-Database!AD42)/12),Database!AE42+('Bicycle Parking Invest. Input'!$C$8-2020)*((Database!AF42-Database!AE42)/10)),0)</f>
        <v>1680</v>
      </c>
      <c r="D42" s="47">
        <f>ROUND(79.6703296703297,0)</f>
        <v>80</v>
      </c>
      <c r="E42" s="47"/>
      <c r="F42" s="49">
        <v>91</v>
      </c>
      <c r="G42" s="49">
        <v>0</v>
      </c>
      <c r="H42" s="49">
        <v>16</v>
      </c>
      <c r="I42" s="49">
        <v>0</v>
      </c>
      <c r="J42" s="49">
        <v>0</v>
      </c>
      <c r="K42" s="49">
        <v>0</v>
      </c>
      <c r="L42" s="47">
        <f>ROUND(0.604651162790698,2)</f>
        <v>0.6</v>
      </c>
      <c r="M42" s="47">
        <f>ROUND(0.931818181818182,2)</f>
        <v>0.93</v>
      </c>
      <c r="N42" s="63">
        <f>ROUND(IF('Bicycle Parking Invest. Input'!$C$8&lt;2020,Database!AH42+('Bicycle Parking Invest. Input'!$C$8-2008)*((Database!AI42-Database!AH42)/12),Database!AI42+('Bicycle Parking Invest. Input'!$C$8-2020)*((Database!AJ42-Database!AI42)/10)),-2)</f>
        <v>6200</v>
      </c>
      <c r="O42" s="80">
        <v>4</v>
      </c>
      <c r="P42" s="82"/>
      <c r="Q42" s="180">
        <v>2.4516129032258065</v>
      </c>
      <c r="R42" s="180">
        <v>4.6086956521739131</v>
      </c>
      <c r="S42" s="180">
        <v>3.12</v>
      </c>
      <c r="T42" s="180">
        <v>2.4230769230769229</v>
      </c>
      <c r="U42" s="180">
        <v>3.2272727272727271</v>
      </c>
      <c r="V42" s="180">
        <v>2.6190476190476191</v>
      </c>
      <c r="W42" s="82"/>
      <c r="X42" s="82"/>
      <c r="Z42" s="64">
        <v>3677.1770852208147</v>
      </c>
      <c r="AA42" s="56">
        <v>4270.3844484835672</v>
      </c>
      <c r="AB42" s="56">
        <v>5130.9989161554831</v>
      </c>
      <c r="AC42" s="57"/>
      <c r="AD42" s="60">
        <v>1654</v>
      </c>
      <c r="AE42" s="60">
        <v>1733.0253225035831</v>
      </c>
      <c r="AF42" s="60">
        <v>1733.0253225035831</v>
      </c>
      <c r="AG42" s="57"/>
      <c r="AH42" s="59">
        <v>6088.2000000000035</v>
      </c>
      <c r="AI42" s="59">
        <v>6372.0536974253955</v>
      </c>
      <c r="AJ42" s="59">
        <v>6651.7454915317776</v>
      </c>
      <c r="AL42" s="106">
        <v>2.5112380289720758E-2</v>
      </c>
      <c r="AM42" s="108">
        <f>MIN((Database!AL42+('Bicycle Parking Invest. Input'!$C$8-2008)*((Database!AN42-Database!AL42)/12))*100,AP42*100)</f>
        <v>3.3483173719627675</v>
      </c>
      <c r="AN42" s="105">
        <f t="shared" si="0"/>
        <v>5.0224760579441516E-2</v>
      </c>
      <c r="AP42" s="105">
        <f t="shared" si="1"/>
        <v>8.4195848487075578E-2</v>
      </c>
      <c r="AR42" s="311">
        <v>0.26</v>
      </c>
      <c r="AS42" s="311">
        <v>0.06</v>
      </c>
      <c r="AT42" s="311">
        <v>0.2</v>
      </c>
      <c r="AU42" s="311">
        <v>0.23</v>
      </c>
      <c r="AV42" s="311">
        <v>0.06</v>
      </c>
      <c r="AW42" s="311">
        <v>0.18999999999999995</v>
      </c>
      <c r="AY42" s="309">
        <v>0.81</v>
      </c>
      <c r="AZ42" s="309">
        <v>0.16</v>
      </c>
      <c r="BA42" s="309">
        <v>0.39</v>
      </c>
      <c r="BB42" s="309">
        <v>0.71</v>
      </c>
      <c r="BC42" s="309">
        <v>0.42</v>
      </c>
      <c r="BD42" s="309">
        <v>0.50999999999999979</v>
      </c>
      <c r="BF42" s="84">
        <v>0.54</v>
      </c>
      <c r="BG42" s="84" t="s">
        <v>331</v>
      </c>
      <c r="BH42" s="84">
        <v>0.06</v>
      </c>
      <c r="BI42" s="84" t="s">
        <v>331</v>
      </c>
      <c r="BJ42" s="84" t="s">
        <v>331</v>
      </c>
      <c r="BK42" s="84" t="s">
        <v>331</v>
      </c>
      <c r="BM42" s="213">
        <v>6</v>
      </c>
      <c r="BN42" s="213">
        <v>2</v>
      </c>
      <c r="BO42" s="209">
        <v>4</v>
      </c>
      <c r="BP42" s="209">
        <v>1</v>
      </c>
      <c r="BQ42" s="209">
        <v>5</v>
      </c>
      <c r="BR42" s="209">
        <v>3</v>
      </c>
      <c r="BT42" s="230">
        <v>2012</v>
      </c>
      <c r="BU42" s="307">
        <f>ROUND(IF(2012&lt;2020,Database!Z42+(2012-2008)*((Database!AA42-Database!Z42)/12),Database!AA42+(2012-2020)*((Database!AB42-Database!AA42)/10)),0)</f>
        <v>3875</v>
      </c>
      <c r="BX42" s="213"/>
    </row>
    <row r="43" spans="1:76" x14ac:dyDescent="0.25">
      <c r="A43" s="45" t="s">
        <v>112</v>
      </c>
      <c r="B43" s="63">
        <f>ROUND(IF('Bicycle Parking Invest. Input'!$C$8&lt;2020,Database!Z43+('Bicycle Parking Invest. Input'!$C$8-2008)*((Database!AA43-Database!Z43)/12),Database!AA43+('Bicycle Parking Invest. Input'!$C$8-2020)*((Database!AB43-Database!AA43)/10)),0)</f>
        <v>0</v>
      </c>
      <c r="C43" s="63">
        <f>ROUND(IF('Bicycle Parking Invest. Input'!$C$8&lt;2020,Database!AD43+('Bicycle Parking Invest. Input'!$C$8-2008)*((Database!AE43-Database!AD43)/12),Database!AE43+('Bicycle Parking Invest. Input'!$C$8-2020)*((Database!AF43-Database!AE43)/10)),0)</f>
        <v>1190</v>
      </c>
      <c r="D43" s="47">
        <f>ROUND(95,0)</f>
        <v>95</v>
      </c>
      <c r="E43" s="47"/>
      <c r="F43" s="49">
        <v>28</v>
      </c>
      <c r="G43" s="49">
        <v>0</v>
      </c>
      <c r="H43" s="49">
        <v>0</v>
      </c>
      <c r="I43" s="49">
        <v>0</v>
      </c>
      <c r="J43" s="49">
        <v>0</v>
      </c>
      <c r="K43" s="49">
        <v>0</v>
      </c>
      <c r="L43" s="47">
        <f>ROUND(1.5,2)</f>
        <v>1.5</v>
      </c>
      <c r="M43" s="47">
        <f>ROUND(1.5,2)</f>
        <v>1.5</v>
      </c>
      <c r="N43" s="63">
        <f>ROUND(IF('Bicycle Parking Invest. Input'!$C$8&lt;2020,Database!AH43+('Bicycle Parking Invest. Input'!$C$8-2008)*((Database!AI43-Database!AH43)/12),Database!AI43+('Bicycle Parking Invest. Input'!$C$8-2020)*((Database!AJ43-Database!AI43)/10)),-2)</f>
        <v>1000</v>
      </c>
      <c r="O43" s="83">
        <v>5</v>
      </c>
      <c r="P43" s="83"/>
      <c r="Q43" s="179">
        <f t="shared" ref="Q43:V43" si="2">Q16</f>
        <v>2.9705882352941178</v>
      </c>
      <c r="R43" s="179">
        <f t="shared" si="2"/>
        <v>5.0625</v>
      </c>
      <c r="S43" s="179">
        <f t="shared" si="2"/>
        <v>2.9393939393939394</v>
      </c>
      <c r="T43" s="179">
        <f t="shared" si="2"/>
        <v>2.65625</v>
      </c>
      <c r="U43" s="179">
        <f t="shared" si="2"/>
        <v>3.2068965517241379</v>
      </c>
      <c r="V43" s="179">
        <f t="shared" si="2"/>
        <v>2.71875</v>
      </c>
      <c r="W43" s="83"/>
      <c r="X43" s="83"/>
      <c r="Z43" s="64">
        <v>0</v>
      </c>
      <c r="AA43" s="56">
        <v>0</v>
      </c>
      <c r="AB43" s="56">
        <v>0</v>
      </c>
      <c r="AC43" s="57"/>
      <c r="AD43" s="60">
        <v>1190</v>
      </c>
      <c r="AE43" s="60">
        <v>1190</v>
      </c>
      <c r="AF43" s="60">
        <v>1190</v>
      </c>
      <c r="AG43" s="57"/>
      <c r="AH43" s="59">
        <v>0</v>
      </c>
      <c r="AI43" s="59">
        <v>2894.6541459406913</v>
      </c>
      <c r="AJ43" s="59">
        <v>3062.6785683873582</v>
      </c>
      <c r="AL43" s="107">
        <v>2.3348453839913526E-2</v>
      </c>
      <c r="AM43" s="108">
        <f>MIN((Database!AL43+('Bicycle Parking Invest. Input'!$C$8-2008)*((Database!AN43-Database!AL43)/12))*100,AP43*100)</f>
        <v>3.1131271786551369</v>
      </c>
      <c r="AN43" s="105">
        <f t="shared" si="0"/>
        <v>4.6696907679827052E-2</v>
      </c>
      <c r="AP43" s="105">
        <f t="shared" si="1"/>
        <v>8.1942294609724686E-2</v>
      </c>
      <c r="AR43" s="173">
        <f>AR16</f>
        <v>0.21</v>
      </c>
      <c r="AS43" s="173">
        <f t="shared" ref="AS43:AW43" si="3">AS16</f>
        <v>0.03</v>
      </c>
      <c r="AT43" s="173">
        <f t="shared" si="3"/>
        <v>0.24</v>
      </c>
      <c r="AU43" s="173">
        <f t="shared" si="3"/>
        <v>0.24</v>
      </c>
      <c r="AV43" s="173">
        <f t="shared" si="3"/>
        <v>0.08</v>
      </c>
      <c r="AW43" s="173">
        <f t="shared" si="3"/>
        <v>0.20000000000000007</v>
      </c>
      <c r="AY43" s="173">
        <f>AY16</f>
        <v>0.55000000000000004</v>
      </c>
      <c r="AZ43" s="173">
        <f t="shared" ref="AZ43:BD43" si="4">AZ16</f>
        <v>0.11</v>
      </c>
      <c r="BA43" s="173">
        <f t="shared" si="4"/>
        <v>0.57999999999999996</v>
      </c>
      <c r="BB43" s="173">
        <f t="shared" si="4"/>
        <v>0.66</v>
      </c>
      <c r="BC43" s="173">
        <f t="shared" si="4"/>
        <v>0.5</v>
      </c>
      <c r="BD43" s="173">
        <f t="shared" si="4"/>
        <v>0.60000000000000009</v>
      </c>
      <c r="BF43" s="215">
        <v>0.39</v>
      </c>
      <c r="BG43" s="84" t="s">
        <v>331</v>
      </c>
      <c r="BH43" s="84" t="s">
        <v>331</v>
      </c>
      <c r="BI43" s="84" t="s">
        <v>331</v>
      </c>
      <c r="BJ43" s="84" t="s">
        <v>331</v>
      </c>
      <c r="BK43" s="84" t="s">
        <v>331</v>
      </c>
      <c r="BM43" s="187">
        <f t="shared" ref="BM43" si="5">BM16</f>
        <v>6</v>
      </c>
      <c r="BN43" s="187">
        <f>BN16</f>
        <v>4</v>
      </c>
      <c r="BO43" s="187">
        <f t="shared" ref="BO43:BR43" si="6">BO16</f>
        <v>3</v>
      </c>
      <c r="BP43" s="187">
        <f t="shared" si="6"/>
        <v>1</v>
      </c>
      <c r="BQ43" s="187">
        <f t="shared" si="6"/>
        <v>5</v>
      </c>
      <c r="BR43" s="187">
        <f t="shared" si="6"/>
        <v>2</v>
      </c>
      <c r="BT43" s="230">
        <v>2012</v>
      </c>
      <c r="BU43" s="307">
        <f>ROUND(IF(2012&lt;2020,Database!Z43+(2012-2008)*((Database!AA43-Database!Z43)/12),Database!AA43+(2012-2020)*((Database!AB43-Database!AA43)/10)),0)</f>
        <v>0</v>
      </c>
      <c r="BX43" s="187"/>
    </row>
    <row r="44" spans="1:76" x14ac:dyDescent="0.25">
      <c r="A44" s="45" t="s">
        <v>109</v>
      </c>
      <c r="B44" s="63">
        <f>ROUND(IF('Bicycle Parking Invest. Input'!$C$8&lt;2020,Database!Z44+('Bicycle Parking Invest. Input'!$C$8-2008)*((Database!AA44-Database!Z44)/12),Database!AA44+('Bicycle Parking Invest. Input'!$C$8-2020)*((Database!AB44-Database!AA44)/10)),0)</f>
        <v>5927</v>
      </c>
      <c r="C44" s="63">
        <f>ROUND(IF('Bicycle Parking Invest. Input'!$C$8&lt;2020,Database!AD44+('Bicycle Parking Invest. Input'!$C$8-2008)*((Database!AE44-Database!AD44)/12),Database!AE44+('Bicycle Parking Invest. Input'!$C$8-2020)*((Database!AF44-Database!AE44)/10)),0)</f>
        <v>719</v>
      </c>
      <c r="D44" s="47">
        <f>ROUND(84.2490842490842,0)</f>
        <v>84</v>
      </c>
      <c r="E44" s="47"/>
      <c r="F44" s="49">
        <v>91</v>
      </c>
      <c r="G44" s="49">
        <v>0</v>
      </c>
      <c r="H44" s="49">
        <v>8</v>
      </c>
      <c r="I44" s="49">
        <v>18</v>
      </c>
      <c r="J44" s="49">
        <v>0</v>
      </c>
      <c r="K44" s="49">
        <v>0</v>
      </c>
      <c r="L44" s="47">
        <f>ROUND(0.32520325203252,2)</f>
        <v>0.33</v>
      </c>
      <c r="M44" s="47">
        <f>ROUND(0.774193548387097,2)</f>
        <v>0.77</v>
      </c>
      <c r="N44" s="63">
        <f>ROUND(IF('Bicycle Parking Invest. Input'!$C$8&lt;2020,Database!AH44+('Bicycle Parking Invest. Input'!$C$8-2008)*((Database!AI44-Database!AH44)/12),Database!AI44+('Bicycle Parking Invest. Input'!$C$8-2020)*((Database!AJ44-Database!AI44)/10)),-2)</f>
        <v>5600</v>
      </c>
      <c r="O44" s="82">
        <v>4</v>
      </c>
      <c r="P44" s="82"/>
      <c r="Q44" s="182">
        <v>2.956989247311828</v>
      </c>
      <c r="R44" s="182">
        <v>4.7662337662337659</v>
      </c>
      <c r="S44" s="182">
        <v>3.6710526315789473</v>
      </c>
      <c r="T44" s="182">
        <v>2.6352941176470588</v>
      </c>
      <c r="U44" s="182">
        <v>2.9249999999999998</v>
      </c>
      <c r="V44" s="182">
        <v>2.164705882352941</v>
      </c>
      <c r="W44" s="82"/>
      <c r="X44" s="82"/>
      <c r="Z44" s="64">
        <v>5417.45</v>
      </c>
      <c r="AA44" s="56">
        <v>6945.5</v>
      </c>
      <c r="AB44" s="56">
        <v>8809.5</v>
      </c>
      <c r="AC44" s="57"/>
      <c r="AD44" s="60">
        <v>719</v>
      </c>
      <c r="AE44" s="60">
        <v>719</v>
      </c>
      <c r="AF44" s="60">
        <v>719</v>
      </c>
      <c r="AG44" s="57"/>
      <c r="AH44" s="59">
        <v>5357.9999999999964</v>
      </c>
      <c r="AI44" s="59">
        <v>5937.4737357660242</v>
      </c>
      <c r="AJ44" s="59">
        <v>6654.7748143313192</v>
      </c>
      <c r="AL44" s="106">
        <v>5.4195848487075579E-2</v>
      </c>
      <c r="AM44" s="108">
        <f>MIN((Database!AL44+('Bicycle Parking Invest. Input'!$C$8-2008)*((Database!AN44-Database!AL44)/12))*100,AP44*100)</f>
        <v>7.2261131316100773</v>
      </c>
      <c r="AN44" s="105">
        <f t="shared" si="0"/>
        <v>0.10839169697415116</v>
      </c>
      <c r="AP44" s="105">
        <f t="shared" si="1"/>
        <v>8.4195848487075578E-2</v>
      </c>
      <c r="AR44" s="312">
        <v>0.2</v>
      </c>
      <c r="AS44" s="312">
        <v>0.03</v>
      </c>
      <c r="AT44" s="312">
        <v>7.0000000000000007E-2</v>
      </c>
      <c r="AU44" s="312">
        <v>0.27</v>
      </c>
      <c r="AV44" s="312">
        <v>0.09</v>
      </c>
      <c r="AW44" s="312">
        <v>0.33999999999999997</v>
      </c>
      <c r="AY44" s="310">
        <v>0.57999999999999996</v>
      </c>
      <c r="AZ44" s="310">
        <v>0.18</v>
      </c>
      <c r="BA44" s="310">
        <v>0.34</v>
      </c>
      <c r="BB44" s="310">
        <v>0.59</v>
      </c>
      <c r="BC44" s="310">
        <v>0.56999999999999995</v>
      </c>
      <c r="BD44" s="310">
        <v>0.74000000000000021</v>
      </c>
      <c r="BF44" s="84">
        <v>0.34</v>
      </c>
      <c r="BG44" s="84" t="s">
        <v>331</v>
      </c>
      <c r="BH44" s="84">
        <v>0.5</v>
      </c>
      <c r="BI44" s="84">
        <v>0.5</v>
      </c>
      <c r="BJ44" s="84" t="s">
        <v>331</v>
      </c>
      <c r="BK44" s="84" t="s">
        <v>331</v>
      </c>
      <c r="BM44" s="213">
        <v>6</v>
      </c>
      <c r="BN44" s="213">
        <v>4</v>
      </c>
      <c r="BO44" s="210">
        <v>5</v>
      </c>
      <c r="BP44" s="210">
        <v>2</v>
      </c>
      <c r="BQ44" s="210">
        <v>3</v>
      </c>
      <c r="BR44" s="210">
        <v>1</v>
      </c>
      <c r="BT44" s="230">
        <v>2012</v>
      </c>
      <c r="BU44" s="307">
        <f>ROUND(IF(2012&lt;2020,Database!Z44+(2012-2008)*((Database!AA44-Database!Z44)/12),Database!AA44+(2012-2020)*((Database!AB44-Database!AA44)/10)),0)</f>
        <v>5927</v>
      </c>
      <c r="BX44" s="213"/>
    </row>
    <row r="45" spans="1:76" ht="15.75" x14ac:dyDescent="0.25">
      <c r="Q45" s="181"/>
      <c r="R45" s="181"/>
      <c r="S45" s="181"/>
      <c r="T45" s="181"/>
      <c r="U45" s="181"/>
      <c r="V45" s="181"/>
      <c r="AM45" s="97"/>
      <c r="AR45" s="312"/>
      <c r="AS45" s="312"/>
      <c r="AT45" s="312"/>
      <c r="AU45" s="312"/>
      <c r="AV45" s="312"/>
      <c r="AW45" s="312"/>
      <c r="AY45" s="310"/>
      <c r="AZ45" s="310"/>
      <c r="BA45" s="310"/>
      <c r="BB45" s="310"/>
      <c r="BC45" s="310"/>
      <c r="BD45" s="310"/>
      <c r="BF45" s="84"/>
      <c r="BG45" s="84"/>
      <c r="BH45" s="84"/>
      <c r="BI45" s="84"/>
      <c r="BJ45" s="84"/>
      <c r="BK45" s="84"/>
      <c r="BM45" s="145"/>
      <c r="BN45" s="145"/>
      <c r="BT45" s="230"/>
      <c r="BU45" s="145"/>
      <c r="BX45" s="145"/>
    </row>
    <row r="46" spans="1:76" x14ac:dyDescent="0.25">
      <c r="A46" s="74" t="s">
        <v>16</v>
      </c>
      <c r="B46" s="63">
        <f>ROUND(IF('Bicycle Parking Invest. Input'!$C$8&lt;2020,Database!Z46+('Bicycle Parking Invest. Input'!$C$8-2008)*((Database!AA46-Database!Z46)/12),Database!AA46+('Bicycle Parking Invest. Input'!$C$8-2020)*((Database!AB46-Database!AA46)/10)),-2)</f>
        <v>3000</v>
      </c>
      <c r="C46" s="63">
        <f>ROUND(IF('Bicycle Parking Invest. Input'!$C$8&lt;2020,Database!AD46+('Bicycle Parking Invest. Input'!$C$8-2008)*((Database!AE46-Database!AD46)/12),Database!AE46+('Bicycle Parking Invest. Input'!$C$8-2020)*((Database!AF46-Database!AE46)/10)),-1)</f>
        <v>1600</v>
      </c>
      <c r="D46" s="47">
        <f>ROUND(91.7266140496648,0)</f>
        <v>92</v>
      </c>
      <c r="E46" s="47"/>
      <c r="F46" s="186">
        <v>0</v>
      </c>
      <c r="G46" s="186">
        <v>0</v>
      </c>
      <c r="H46" s="186">
        <v>0</v>
      </c>
      <c r="I46" s="186">
        <v>0</v>
      </c>
      <c r="J46" s="186">
        <v>0</v>
      </c>
      <c r="K46" s="186">
        <v>0</v>
      </c>
      <c r="L46" s="47">
        <f>ROUND(0.779831944965324,2)</f>
        <v>0.78</v>
      </c>
      <c r="M46" s="47">
        <f>ROUND(1.23442524489093,2)</f>
        <v>1.23</v>
      </c>
      <c r="N46" s="63">
        <f>ROUND(IF('Bicycle Parking Invest. Input'!$C$8&lt;2020,Database!AH46+('Bicycle Parking Invest. Input'!$C$8-2008)*((Database!AI46-Database!AH46)/12),Database!AI46+('Bicycle Parking Invest. Input'!$C$8-2020)*((Database!AJ46-Database!AI46)/10)),-2)</f>
        <v>3900</v>
      </c>
      <c r="O46" s="83">
        <v>5</v>
      </c>
      <c r="P46" s="83"/>
      <c r="Q46" s="182">
        <v>2.873170731707317</v>
      </c>
      <c r="R46" s="182">
        <v>4.8452380952380949</v>
      </c>
      <c r="S46" s="182">
        <v>2.8888888888888888</v>
      </c>
      <c r="T46" s="182">
        <v>2.484375</v>
      </c>
      <c r="U46" s="182">
        <v>3.0476190476190474</v>
      </c>
      <c r="V46" s="182">
        <v>2.672514619883041</v>
      </c>
      <c r="W46" s="83"/>
      <c r="X46" s="83"/>
      <c r="Z46" s="64">
        <v>2891.4682736467307</v>
      </c>
      <c r="AA46" s="56">
        <v>3185.2851482585265</v>
      </c>
      <c r="AB46" s="56">
        <v>3897.2434958917752</v>
      </c>
      <c r="AC46" s="57"/>
      <c r="AD46" s="60">
        <v>1626.1666666666667</v>
      </c>
      <c r="AE46" s="60">
        <v>1533.4447584798061</v>
      </c>
      <c r="AF46" s="60">
        <v>1533.4447584798061</v>
      </c>
      <c r="AG46" s="57"/>
      <c r="AH46" s="59">
        <v>3753.876923076923</v>
      </c>
      <c r="AI46" s="59">
        <v>4194.4940481156918</v>
      </c>
      <c r="AJ46" s="59">
        <v>4502.3131985070149</v>
      </c>
      <c r="AL46" s="104">
        <v>2.756833169373148E-2</v>
      </c>
      <c r="AM46" s="108">
        <f>(Database!AL46+('Bicycle Parking Invest. Input'!$C$8-2008)*((Database!AN46-Database!AL46)/12))*100</f>
        <v>3.6757775591641972</v>
      </c>
      <c r="AN46" s="105">
        <f>AL46*2</f>
        <v>5.513666338746296E-2</v>
      </c>
      <c r="AP46" s="177">
        <v>8.1942294609724686E-2</v>
      </c>
      <c r="AR46" s="312">
        <v>0.2</v>
      </c>
      <c r="AS46" s="312">
        <v>0.02</v>
      </c>
      <c r="AT46" s="312">
        <v>0.18</v>
      </c>
      <c r="AU46" s="312">
        <v>0.28000000000000003</v>
      </c>
      <c r="AV46" s="312">
        <v>0.11</v>
      </c>
      <c r="AW46" s="312">
        <v>0.20999999999999996</v>
      </c>
      <c r="AY46" s="310">
        <v>0.62</v>
      </c>
      <c r="AZ46" s="310">
        <v>0.16</v>
      </c>
      <c r="BA46" s="310">
        <v>0.52</v>
      </c>
      <c r="BB46" s="310">
        <v>0.64</v>
      </c>
      <c r="BC46" s="310">
        <v>0.49</v>
      </c>
      <c r="BD46" s="310">
        <v>0.57000000000000028</v>
      </c>
      <c r="BF46" s="208">
        <v>0.35</v>
      </c>
      <c r="BG46" s="208">
        <v>0.95</v>
      </c>
      <c r="BH46" s="208">
        <v>0.1</v>
      </c>
      <c r="BI46" s="208">
        <v>0.4</v>
      </c>
      <c r="BJ46" s="84" t="s">
        <v>331</v>
      </c>
      <c r="BK46" s="84" t="s">
        <v>331</v>
      </c>
      <c r="BM46" s="213">
        <v>6</v>
      </c>
      <c r="BN46" s="213">
        <v>3</v>
      </c>
      <c r="BO46" s="213">
        <v>4</v>
      </c>
      <c r="BP46" s="213">
        <v>1</v>
      </c>
      <c r="BQ46" s="213">
        <v>5</v>
      </c>
      <c r="BR46" s="213">
        <v>2</v>
      </c>
      <c r="BT46" s="230">
        <v>2012</v>
      </c>
      <c r="BU46" s="307">
        <f>ROUND(IF(2012&lt;2020,Database!Z46+(2012-2008)*((Database!AA46-Database!Z46)/12),Database!AA46+(2012-2020)*((Database!AB46-Database!AA46)/10)),0)</f>
        <v>2989</v>
      </c>
      <c r="BX46" s="213"/>
    </row>
    <row r="47" spans="1:76" x14ac:dyDescent="0.25">
      <c r="A47" s="74" t="s">
        <v>61</v>
      </c>
      <c r="B47" s="63">
        <f>ROUND(IF('Bicycle Parking Invest. Input'!$C$8&lt;2020,Database!Z47+('Bicycle Parking Invest. Input'!$C$8-2008)*((Database!AA47-Database!Z47)/12),Database!AA47+('Bicycle Parking Invest. Input'!$C$8-2020)*((Database!AB47-Database!AA47)/10)),-2)</f>
        <v>5400</v>
      </c>
      <c r="C47" s="63">
        <f>ROUND(IF('Bicycle Parking Invest. Input'!$C$8&lt;2020,Database!AD47+('Bicycle Parking Invest. Input'!$C$8-2008)*((Database!AE47-Database!AD47)/12),Database!AE47+('Bicycle Parking Invest. Input'!$C$8-2020)*((Database!AF47-Database!AE47)/10)),-1)</f>
        <v>1300</v>
      </c>
      <c r="D47" s="47">
        <f>ROUND(91.5255083110967,0)</f>
        <v>92</v>
      </c>
      <c r="E47" s="47"/>
      <c r="F47" s="186">
        <v>0</v>
      </c>
      <c r="G47" s="186">
        <v>0</v>
      </c>
      <c r="H47" s="186">
        <v>0</v>
      </c>
      <c r="I47" s="186">
        <v>0</v>
      </c>
      <c r="J47" s="186">
        <v>0</v>
      </c>
      <c r="K47" s="186">
        <v>0</v>
      </c>
      <c r="L47" s="47">
        <f>ROUND(0.761428370983185,2)</f>
        <v>0.76</v>
      </c>
      <c r="M47" s="47">
        <f>ROUND(1.04909955934149,2)</f>
        <v>1.05</v>
      </c>
      <c r="N47" s="63">
        <f>ROUND(IF('Bicycle Parking Invest. Input'!$C$8&lt;2020,Database!AH47+('Bicycle Parking Invest. Input'!$C$8-2008)*((Database!AI47-Database!AH47)/12),Database!AI47+('Bicycle Parking Invest. Input'!$C$8-2020)*((Database!AJ47-Database!AI47)/10)),-2)</f>
        <v>6400</v>
      </c>
      <c r="O47" s="83">
        <v>4</v>
      </c>
      <c r="P47" s="83"/>
      <c r="Q47" s="182">
        <v>2.9030837004405288</v>
      </c>
      <c r="R47" s="182">
        <v>4.7736842105263158</v>
      </c>
      <c r="S47" s="182">
        <v>3.3283582089552239</v>
      </c>
      <c r="T47" s="182">
        <v>2.5707547169811322</v>
      </c>
      <c r="U47" s="182">
        <v>2.9214659685863875</v>
      </c>
      <c r="V47" s="182">
        <v>2.3269230769230771</v>
      </c>
      <c r="W47" s="83"/>
      <c r="X47" s="83"/>
      <c r="Z47" s="64">
        <v>5108.1446641194289</v>
      </c>
      <c r="AA47" s="56">
        <v>5961.6989092963604</v>
      </c>
      <c r="AB47" s="56">
        <v>6998.8821579093474</v>
      </c>
      <c r="AC47" s="57"/>
      <c r="AD47" s="60">
        <v>1296.7142857142858</v>
      </c>
      <c r="AE47" s="60">
        <v>1308.0036175005118</v>
      </c>
      <c r="AF47" s="60">
        <v>1308.0036175005118</v>
      </c>
      <c r="AG47" s="57"/>
      <c r="AH47" s="59">
        <v>6210.5714285714303</v>
      </c>
      <c r="AI47" s="59">
        <v>6679.8464131045739</v>
      </c>
      <c r="AJ47" s="59">
        <v>7102.7439844405244</v>
      </c>
      <c r="AL47" s="104">
        <v>2.2447297556903192E-2</v>
      </c>
      <c r="AM47" s="108">
        <f>(Database!AL47+('Bicycle Parking Invest. Input'!$C$8-2008)*((Database!AN47-Database!AL47)/12))*100</f>
        <v>2.9929730075870924</v>
      </c>
      <c r="AN47" s="105">
        <f t="shared" ref="AN47:AN50" si="7">AL47*2</f>
        <v>4.4894595113806383E-2</v>
      </c>
      <c r="AP47" s="177">
        <v>8.4195848487075578E-2</v>
      </c>
      <c r="AR47" s="312">
        <v>0.2</v>
      </c>
      <c r="AS47" s="312">
        <v>0.04</v>
      </c>
      <c r="AT47" s="312">
        <v>0.14000000000000001</v>
      </c>
      <c r="AU47" s="312">
        <v>0.25</v>
      </c>
      <c r="AV47" s="312">
        <v>0.09</v>
      </c>
      <c r="AW47" s="312">
        <v>0.28000000000000003</v>
      </c>
      <c r="AY47" s="310">
        <v>0.57999999999999996</v>
      </c>
      <c r="AZ47" s="310">
        <v>0.17</v>
      </c>
      <c r="BA47" s="310">
        <v>0.41</v>
      </c>
      <c r="BB47" s="310">
        <v>0.61</v>
      </c>
      <c r="BC47" s="310">
        <v>0.55000000000000004</v>
      </c>
      <c r="BD47" s="310">
        <v>0.67999999999999972</v>
      </c>
      <c r="BF47" s="208">
        <v>0.3</v>
      </c>
      <c r="BG47" s="208">
        <v>0.95</v>
      </c>
      <c r="BH47" s="208">
        <v>0.3</v>
      </c>
      <c r="BI47" s="208">
        <v>0.5</v>
      </c>
      <c r="BJ47" s="84" t="s">
        <v>331</v>
      </c>
      <c r="BK47" s="84" t="s">
        <v>331</v>
      </c>
      <c r="BM47" s="213">
        <v>6</v>
      </c>
      <c r="BN47" s="213">
        <v>3</v>
      </c>
      <c r="BO47" s="213">
        <v>5</v>
      </c>
      <c r="BP47" s="213">
        <v>2</v>
      </c>
      <c r="BQ47" s="213">
        <v>4</v>
      </c>
      <c r="BR47" s="213">
        <v>1</v>
      </c>
      <c r="BT47" s="230">
        <v>2012</v>
      </c>
      <c r="BU47" s="307">
        <f>ROUND(IF(2012&lt;2020,Database!Z47+(2012-2008)*((Database!AA47-Database!Z47)/12),Database!AA47+(2012-2020)*((Database!AB47-Database!AA47)/10)),0)</f>
        <v>5393</v>
      </c>
      <c r="BX47" s="213"/>
    </row>
    <row r="48" spans="1:76" x14ac:dyDescent="0.25">
      <c r="A48" s="74" t="s">
        <v>15</v>
      </c>
      <c r="B48" s="63">
        <f>ROUND(IF('Bicycle Parking Invest. Input'!$C$8&lt;2020,Database!Z48+('Bicycle Parking Invest. Input'!$C$8-2008)*((Database!AA48-Database!Z48)/12),Database!AA48+('Bicycle Parking Invest. Input'!$C$8-2020)*((Database!AB48-Database!AA48)/10)),-2)</f>
        <v>6500</v>
      </c>
      <c r="C48" s="63">
        <f>ROUND(IF('Bicycle Parking Invest. Input'!$C$8&lt;2020,Database!AD48+('Bicycle Parking Invest. Input'!$C$8-2008)*((Database!AE48-Database!AD48)/12),Database!AE48+('Bicycle Parking Invest. Input'!$C$8-2020)*((Database!AF48-Database!AE48)/10)),-1)</f>
        <v>830</v>
      </c>
      <c r="D48" s="47">
        <f>ROUND(92.3716812770978,0)</f>
        <v>92</v>
      </c>
      <c r="E48" s="47"/>
      <c r="F48" s="186">
        <v>0</v>
      </c>
      <c r="G48" s="186">
        <v>0</v>
      </c>
      <c r="H48" s="186">
        <v>0</v>
      </c>
      <c r="I48" s="186">
        <v>0</v>
      </c>
      <c r="J48" s="186">
        <v>0</v>
      </c>
      <c r="K48" s="186">
        <v>0</v>
      </c>
      <c r="L48" s="47">
        <f>ROUND(0.988406445195802,2)</f>
        <v>0.99</v>
      </c>
      <c r="M48" s="47">
        <f>ROUND(1.13101109722801,2)</f>
        <v>1.1299999999999999</v>
      </c>
      <c r="N48" s="63">
        <f>ROUND(IF('Bicycle Parking Invest. Input'!$C$8&lt;2020,Database!AH48+('Bicycle Parking Invest. Input'!$C$8-2008)*((Database!AI48-Database!AH48)/12),Database!AI48+('Bicycle Parking Invest. Input'!$C$8-2020)*((Database!AJ48-Database!AI48)/10)),-2)</f>
        <v>5700</v>
      </c>
      <c r="O48" s="83">
        <v>3</v>
      </c>
      <c r="P48" s="83"/>
      <c r="Q48" s="182">
        <v>2.810580204778157</v>
      </c>
      <c r="R48" s="182">
        <v>4.6865979381443301</v>
      </c>
      <c r="S48" s="182">
        <v>3.6784922394678494</v>
      </c>
      <c r="T48" s="182">
        <v>2.4400749063670411</v>
      </c>
      <c r="U48" s="182">
        <v>3.029723991507431</v>
      </c>
      <c r="V48" s="182">
        <v>2.247739602169982</v>
      </c>
      <c r="W48" s="83"/>
      <c r="X48" s="83"/>
      <c r="Z48" s="64">
        <v>6251.1097329409185</v>
      </c>
      <c r="AA48" s="56">
        <v>7134.9913541203196</v>
      </c>
      <c r="AB48" s="56">
        <v>8014.5592410943336</v>
      </c>
      <c r="AC48" s="57"/>
      <c r="AD48" s="60">
        <v>827.77777777777783</v>
      </c>
      <c r="AE48" s="60">
        <v>833.0852414918113</v>
      </c>
      <c r="AF48" s="60">
        <v>833.0852414918113</v>
      </c>
      <c r="AG48" s="57"/>
      <c r="AH48" s="59">
        <v>5546.9436862745106</v>
      </c>
      <c r="AI48" s="59">
        <v>5894.5322804220041</v>
      </c>
      <c r="AJ48" s="59">
        <v>6250.7567678199712</v>
      </c>
      <c r="AL48" s="104">
        <v>5.1643342213658232E-2</v>
      </c>
      <c r="AM48" s="108">
        <f>(Database!AL48+('Bicycle Parking Invest. Input'!$C$8-2008)*((Database!AN48-Database!AL48)/12))*100</f>
        <v>6.8857789618210967</v>
      </c>
      <c r="AN48" s="105">
        <f t="shared" si="7"/>
        <v>0.10328668442731646</v>
      </c>
      <c r="AP48" s="177">
        <v>0.12760561445254343</v>
      </c>
      <c r="AR48" s="312">
        <v>0.21</v>
      </c>
      <c r="AS48" s="312">
        <v>0.04</v>
      </c>
      <c r="AT48" s="312">
        <v>0.08</v>
      </c>
      <c r="AU48" s="312">
        <v>0.3</v>
      </c>
      <c r="AV48" s="312">
        <v>7.0000000000000007E-2</v>
      </c>
      <c r="AW48" s="312">
        <v>0.30000000000000004</v>
      </c>
      <c r="AY48" s="310">
        <v>0.63</v>
      </c>
      <c r="AZ48" s="310">
        <v>0.18</v>
      </c>
      <c r="BA48" s="310">
        <v>0.32</v>
      </c>
      <c r="BB48" s="310">
        <v>0.63</v>
      </c>
      <c r="BC48" s="310">
        <v>0.51</v>
      </c>
      <c r="BD48" s="310">
        <v>0.72999999999999954</v>
      </c>
      <c r="BF48" s="208">
        <v>0.5</v>
      </c>
      <c r="BG48" s="208">
        <v>0.95</v>
      </c>
      <c r="BH48" s="208">
        <v>0.3</v>
      </c>
      <c r="BI48" s="208">
        <v>0.7</v>
      </c>
      <c r="BJ48" s="84" t="s">
        <v>331</v>
      </c>
      <c r="BK48" s="84">
        <v>0.55000000000000004</v>
      </c>
      <c r="BM48" s="213">
        <v>6</v>
      </c>
      <c r="BN48" s="213">
        <v>3</v>
      </c>
      <c r="BO48" s="213">
        <v>5</v>
      </c>
      <c r="BP48" s="213">
        <v>2</v>
      </c>
      <c r="BQ48" s="213">
        <v>4</v>
      </c>
      <c r="BR48" s="213">
        <v>1</v>
      </c>
      <c r="BT48" s="230">
        <v>2012</v>
      </c>
      <c r="BU48" s="307">
        <f>ROUND(IF(2012&lt;2020,Database!Z48+(2012-2008)*((Database!AA48-Database!Z48)/12),Database!AA48+(2012-2020)*((Database!AB48-Database!AA48)/10)),0)</f>
        <v>6546</v>
      </c>
      <c r="BX48" s="213"/>
    </row>
    <row r="49" spans="1:76" x14ac:dyDescent="0.25">
      <c r="A49" s="74" t="s">
        <v>14</v>
      </c>
      <c r="B49" s="63">
        <f>ROUND(IF('Bicycle Parking Invest. Input'!$C$8&lt;2020,Database!Z49+('Bicycle Parking Invest. Input'!$C$8-2008)*((Database!AA49-Database!Z49)/12),Database!AA49+('Bicycle Parking Invest. Input'!$C$8-2020)*((Database!AB49-Database!AA49)/10)),-2)</f>
        <v>8500</v>
      </c>
      <c r="C49" s="63">
        <f>ROUND(IF('Bicycle Parking Invest. Input'!$C$8&lt;2020,Database!AD49+('Bicycle Parking Invest. Input'!$C$8-2008)*((Database!AE49-Database!AD49)/12),Database!AE49+('Bicycle Parking Invest. Input'!$C$8-2020)*((Database!AF49-Database!AE49)/10)),-1)</f>
        <v>230</v>
      </c>
      <c r="D49" s="47">
        <f>ROUND(92.5077577369281,0)</f>
        <v>93</v>
      </c>
      <c r="E49" s="47"/>
      <c r="F49" s="186">
        <v>0</v>
      </c>
      <c r="G49" s="186">
        <v>0</v>
      </c>
      <c r="H49" s="186">
        <v>0</v>
      </c>
      <c r="I49" s="186">
        <v>0</v>
      </c>
      <c r="J49" s="186">
        <v>0</v>
      </c>
      <c r="K49" s="186">
        <v>0</v>
      </c>
      <c r="L49" s="47">
        <f>ROUND(1.10452452134735,2)</f>
        <v>1.1000000000000001</v>
      </c>
      <c r="M49" s="47">
        <f>ROUND(1.49670651225931,2)</f>
        <v>1.5</v>
      </c>
      <c r="N49" s="63">
        <f>ROUND(IF('Bicycle Parking Invest. Input'!$C$8&lt;2020,Database!AH49+('Bicycle Parking Invest. Input'!$C$8-2008)*((Database!AI49-Database!AH49)/12),Database!AI49+('Bicycle Parking Invest. Input'!$C$8-2020)*((Database!AJ49-Database!AI49)/10)),-2)</f>
        <v>8000</v>
      </c>
      <c r="O49" s="83">
        <v>2</v>
      </c>
      <c r="P49" s="83"/>
      <c r="Q49" s="182">
        <v>2.9506437768240343</v>
      </c>
      <c r="R49" s="182">
        <v>4.6234413965087278</v>
      </c>
      <c r="S49" s="182">
        <v>3.7375690607734806</v>
      </c>
      <c r="T49" s="182">
        <v>2.5539215686274508</v>
      </c>
      <c r="U49" s="182">
        <v>2.7383419689119171</v>
      </c>
      <c r="V49" s="182">
        <v>2.2626728110599079</v>
      </c>
      <c r="W49" s="83"/>
      <c r="X49" s="83"/>
      <c r="Z49" s="64">
        <v>8109.4390000000003</v>
      </c>
      <c r="AA49" s="56">
        <v>9322.2433333333338</v>
      </c>
      <c r="AB49" s="56">
        <v>11006.09</v>
      </c>
      <c r="AC49" s="57"/>
      <c r="AD49" s="60">
        <v>233.8</v>
      </c>
      <c r="AE49" s="60">
        <v>223.54029850746269</v>
      </c>
      <c r="AF49" s="60">
        <v>223.54029850746269</v>
      </c>
      <c r="AG49" s="57"/>
      <c r="AH49" s="59">
        <v>7630.9999999999909</v>
      </c>
      <c r="AI49" s="59">
        <v>8648.2368139115933</v>
      </c>
      <c r="AJ49" s="59">
        <v>9382.2005913449484</v>
      </c>
      <c r="AL49" s="104">
        <v>4.4721299063991291E-2</v>
      </c>
      <c r="AM49" s="108">
        <f>(Database!AL49+('Bicycle Parking Invest. Input'!$C$8-2008)*((Database!AN49-Database!AL49)/12))*100</f>
        <v>5.9628398751988385</v>
      </c>
      <c r="AN49" s="105">
        <f t="shared" si="7"/>
        <v>8.9442598127982581E-2</v>
      </c>
      <c r="AP49" s="177">
        <v>0.14254704745083363</v>
      </c>
      <c r="AR49" s="312">
        <v>0.19</v>
      </c>
      <c r="AS49" s="312">
        <v>0.04</v>
      </c>
      <c r="AT49" s="312">
        <v>0.09</v>
      </c>
      <c r="AU49" s="312">
        <v>0.27</v>
      </c>
      <c r="AV49" s="312">
        <v>0.12</v>
      </c>
      <c r="AW49" s="312">
        <v>0.28999999999999992</v>
      </c>
      <c r="AY49" s="310">
        <v>0.57999999999999996</v>
      </c>
      <c r="AZ49" s="310">
        <v>0.2</v>
      </c>
      <c r="BA49" s="310">
        <v>0.32</v>
      </c>
      <c r="BB49" s="310">
        <v>0.6</v>
      </c>
      <c r="BC49" s="310">
        <v>0.57999999999999996</v>
      </c>
      <c r="BD49" s="310">
        <v>0.71999999999999975</v>
      </c>
      <c r="BF49" s="208">
        <v>0.6</v>
      </c>
      <c r="BG49" s="208">
        <v>0.7</v>
      </c>
      <c r="BH49" s="208">
        <v>0.25</v>
      </c>
      <c r="BI49" s="208">
        <v>0.85</v>
      </c>
      <c r="BJ49" s="84">
        <v>0.6</v>
      </c>
      <c r="BK49" s="84" t="s">
        <v>331</v>
      </c>
      <c r="BM49" s="213">
        <v>6</v>
      </c>
      <c r="BN49" s="213">
        <v>4</v>
      </c>
      <c r="BO49" s="213">
        <v>5</v>
      </c>
      <c r="BP49" s="213">
        <v>2</v>
      </c>
      <c r="BQ49" s="213">
        <v>3</v>
      </c>
      <c r="BR49" s="213">
        <v>1</v>
      </c>
      <c r="BT49" s="230">
        <v>2012</v>
      </c>
      <c r="BU49" s="307">
        <f>ROUND(IF(2012&lt;2020,Database!Z49+(2012-2008)*((Database!AA49-Database!Z49)/12),Database!AA49+(2012-2020)*((Database!AB49-Database!AA49)/10)),0)</f>
        <v>8514</v>
      </c>
      <c r="BX49" s="213"/>
    </row>
    <row r="50" spans="1:76" x14ac:dyDescent="0.25">
      <c r="A50" s="74" t="s">
        <v>13</v>
      </c>
      <c r="B50" s="63">
        <f>ROUND(IF('Bicycle Parking Invest. Input'!$C$8&lt;2020,Database!Z50+('Bicycle Parking Invest. Input'!$C$8-2008)*((Database!AA50-Database!Z50)/12),Database!AA50+('Bicycle Parking Invest. Input'!$C$8-2020)*((Database!AB50-Database!AA50)/10)),-2)</f>
        <v>14700</v>
      </c>
      <c r="C50" s="63">
        <f>ROUND(IF('Bicycle Parking Invest. Input'!$C$8&lt;2020,Database!AD50+('Bicycle Parking Invest. Input'!$C$8-2008)*((Database!AE50-Database!AD50)/12),Database!AE50+('Bicycle Parking Invest. Input'!$C$8-2020)*((Database!AF50-Database!AE50)/10)),-1)</f>
        <v>0</v>
      </c>
      <c r="D50" s="47">
        <f>ROUND(80.0743459977547,0)</f>
        <v>80</v>
      </c>
      <c r="E50" s="47"/>
      <c r="F50" s="186">
        <v>0</v>
      </c>
      <c r="G50" s="186">
        <v>0</v>
      </c>
      <c r="H50" s="186">
        <v>0</v>
      </c>
      <c r="I50" s="186">
        <v>0</v>
      </c>
      <c r="J50" s="186">
        <v>0</v>
      </c>
      <c r="K50" s="186">
        <v>0</v>
      </c>
      <c r="L50" s="47">
        <f>ROUND(0.883791681972752,2)</f>
        <v>0.88</v>
      </c>
      <c r="M50" s="47">
        <f>ROUND(1.32973385693307,2)</f>
        <v>1.33</v>
      </c>
      <c r="N50" s="63">
        <f>ROUND(IF('Bicycle Parking Invest. Input'!$C$8&lt;2020,Database!AH50+('Bicycle Parking Invest. Input'!$C$8-2008)*((Database!AI50-Database!AH50)/12),Database!AI50+('Bicycle Parking Invest. Input'!$C$8-2020)*((Database!AJ50-Database!AI50)/10)),-2)</f>
        <v>20800</v>
      </c>
      <c r="O50" s="83">
        <v>1</v>
      </c>
      <c r="P50" s="83"/>
      <c r="Q50" s="182">
        <v>2.8348387096774195</v>
      </c>
      <c r="R50" s="182">
        <v>4.6393700787401571</v>
      </c>
      <c r="S50" s="182">
        <v>3.5677530017152659</v>
      </c>
      <c r="T50" s="182">
        <v>2.9663299663299663</v>
      </c>
      <c r="U50" s="182">
        <v>2.7654320987654319</v>
      </c>
      <c r="V50" s="182">
        <v>2.1557922769640481</v>
      </c>
      <c r="W50" s="83"/>
      <c r="X50" s="83"/>
      <c r="Z50" s="64">
        <v>13874.02222222222</v>
      </c>
      <c r="AA50" s="56">
        <v>16379.486111111111</v>
      </c>
      <c r="AB50" s="56">
        <v>18673.736111111109</v>
      </c>
      <c r="AC50" s="57"/>
      <c r="AD50" s="60">
        <v>0</v>
      </c>
      <c r="AE50" s="60">
        <v>0</v>
      </c>
      <c r="AF50" s="60">
        <v>0</v>
      </c>
      <c r="AG50" s="57"/>
      <c r="AH50" s="59">
        <v>19820.663431151163</v>
      </c>
      <c r="AI50" s="59">
        <v>22619.371563262008</v>
      </c>
      <c r="AJ50" s="59">
        <v>24409.943450161474</v>
      </c>
      <c r="AL50" s="104">
        <v>2.12518325594311E-2</v>
      </c>
      <c r="AM50" s="108">
        <f>(Database!AL50+('Bicycle Parking Invest. Input'!$C$8-2008)*((Database!AN50-Database!AL50)/12))*100</f>
        <v>2.8335776745908134</v>
      </c>
      <c r="AN50" s="105">
        <f t="shared" si="7"/>
        <v>4.2503665118862201E-2</v>
      </c>
      <c r="AP50" s="177">
        <v>8.6724313927912008E-2</v>
      </c>
      <c r="AR50" s="312">
        <v>0.23</v>
      </c>
      <c r="AS50" s="312">
        <v>0.04</v>
      </c>
      <c r="AT50" s="312">
        <v>0.09</v>
      </c>
      <c r="AU50" s="312">
        <v>0.15</v>
      </c>
      <c r="AV50" s="312">
        <v>0.11</v>
      </c>
      <c r="AW50" s="312">
        <v>0.38</v>
      </c>
      <c r="AY50" s="310">
        <v>0.63</v>
      </c>
      <c r="AZ50" s="310">
        <v>0.2</v>
      </c>
      <c r="BA50" s="310">
        <v>0.34</v>
      </c>
      <c r="BB50" s="310">
        <v>0.47</v>
      </c>
      <c r="BC50" s="310">
        <v>0.59</v>
      </c>
      <c r="BD50" s="310">
        <v>0.77</v>
      </c>
      <c r="BF50" s="208">
        <v>0.65</v>
      </c>
      <c r="BG50" s="208">
        <v>0.85</v>
      </c>
      <c r="BH50" s="208">
        <v>0.1</v>
      </c>
      <c r="BI50" s="208">
        <v>0.9</v>
      </c>
      <c r="BJ50" s="84">
        <v>0.4</v>
      </c>
      <c r="BK50" s="84">
        <v>0.7</v>
      </c>
      <c r="BM50" s="213">
        <v>6</v>
      </c>
      <c r="BN50" s="213">
        <v>3</v>
      </c>
      <c r="BO50" s="213">
        <v>5</v>
      </c>
      <c r="BP50" s="213">
        <v>4</v>
      </c>
      <c r="BQ50" s="213">
        <v>2</v>
      </c>
      <c r="BR50" s="213">
        <v>1</v>
      </c>
      <c r="BT50" s="230">
        <v>2012</v>
      </c>
      <c r="BU50" s="307">
        <f>ROUND(IF(2012&lt;2020,Database!Z50+(2012-2008)*((Database!AA50-Database!Z50)/12),Database!AA50+(2012-2020)*((Database!AB50-Database!AA50)/10)),0)</f>
        <v>14709</v>
      </c>
      <c r="BX50" s="213"/>
    </row>
    <row r="51" spans="1:76" x14ac:dyDescent="0.25">
      <c r="D51" s="62"/>
      <c r="E51" s="62"/>
      <c r="F51" s="187" t="s">
        <v>315</v>
      </c>
    </row>
    <row r="52" spans="1:76" x14ac:dyDescent="0.25">
      <c r="A52" s="178">
        <v>5</v>
      </c>
      <c r="B52" s="178" t="s">
        <v>16</v>
      </c>
      <c r="F52" s="71"/>
      <c r="G52" s="71"/>
      <c r="H52" s="71"/>
      <c r="I52" s="71"/>
      <c r="J52" s="71"/>
      <c r="K52" s="71"/>
      <c r="BF52" s="84"/>
      <c r="BG52" s="84"/>
      <c r="BH52" s="84"/>
      <c r="BI52" s="84"/>
      <c r="BJ52" s="84"/>
      <c r="BK52" s="84"/>
    </row>
    <row r="53" spans="1:76" x14ac:dyDescent="0.25">
      <c r="A53" s="178">
        <v>4</v>
      </c>
      <c r="B53" s="178" t="s">
        <v>61</v>
      </c>
      <c r="F53" s="71"/>
      <c r="G53" s="71"/>
      <c r="H53" s="71"/>
      <c r="I53" s="71"/>
      <c r="J53" s="71"/>
      <c r="K53" s="71"/>
      <c r="BF53" s="84"/>
      <c r="BG53" s="84"/>
      <c r="BH53" s="84"/>
      <c r="BI53" s="84"/>
      <c r="BJ53" s="84"/>
      <c r="BK53" s="84"/>
    </row>
    <row r="54" spans="1:76" x14ac:dyDescent="0.25">
      <c r="A54" s="178">
        <v>3</v>
      </c>
      <c r="B54" s="178" t="s">
        <v>15</v>
      </c>
      <c r="F54" s="71"/>
      <c r="G54" s="71"/>
      <c r="H54" s="71"/>
      <c r="I54" s="71"/>
      <c r="J54" s="71"/>
      <c r="K54" s="71"/>
      <c r="BF54" s="84"/>
      <c r="BG54" s="84"/>
      <c r="BH54" s="84"/>
      <c r="BI54" s="84"/>
      <c r="BJ54" s="84"/>
      <c r="BK54" s="84"/>
    </row>
    <row r="55" spans="1:76" x14ac:dyDescent="0.25">
      <c r="A55" s="178">
        <v>2</v>
      </c>
      <c r="B55" s="178" t="s">
        <v>14</v>
      </c>
      <c r="F55" s="71"/>
      <c r="G55" s="71"/>
      <c r="H55" s="71"/>
      <c r="I55" s="71"/>
      <c r="J55" s="71"/>
      <c r="K55" s="71"/>
      <c r="BF55" s="84"/>
      <c r="BG55" s="84"/>
      <c r="BH55" s="84"/>
      <c r="BI55" s="84"/>
      <c r="BJ55" s="84"/>
      <c r="BK55" s="84"/>
    </row>
    <row r="56" spans="1:76" x14ac:dyDescent="0.25">
      <c r="A56" s="178">
        <v>1</v>
      </c>
      <c r="B56" s="178" t="s">
        <v>13</v>
      </c>
      <c r="F56" s="71"/>
      <c r="G56" s="71"/>
      <c r="H56" s="71"/>
      <c r="I56" s="71"/>
      <c r="J56" s="71"/>
      <c r="K56" s="71"/>
      <c r="Q56" s="82"/>
      <c r="R56" s="85"/>
      <c r="S56" s="85"/>
      <c r="T56" s="85"/>
      <c r="U56" s="85"/>
      <c r="V56" s="85"/>
      <c r="BF56" s="84"/>
      <c r="BG56" s="84"/>
      <c r="BH56" s="84"/>
      <c r="BI56" s="84"/>
      <c r="BJ56" s="84"/>
      <c r="BK56" s="84"/>
    </row>
    <row r="57" spans="1:76" x14ac:dyDescent="0.25">
      <c r="BF57" s="84"/>
      <c r="BG57" s="84"/>
      <c r="BH57" s="84"/>
      <c r="BI57" s="84"/>
      <c r="BJ57" s="84"/>
      <c r="BK57" s="84"/>
    </row>
    <row r="58" spans="1:76" x14ac:dyDescent="0.25">
      <c r="BF58" s="84"/>
      <c r="BG58" s="84"/>
      <c r="BH58" s="84"/>
      <c r="BI58" s="84"/>
      <c r="BJ58" s="84"/>
      <c r="BK58" s="84"/>
    </row>
    <row r="59" spans="1:76" x14ac:dyDescent="0.25">
      <c r="BF59" s="84"/>
      <c r="BG59" s="84"/>
      <c r="BH59" s="84"/>
      <c r="BI59" s="84"/>
      <c r="BJ59" s="84"/>
      <c r="BK59" s="84"/>
    </row>
    <row r="60" spans="1:76" x14ac:dyDescent="0.25">
      <c r="BF60" s="84"/>
      <c r="BG60" s="84"/>
      <c r="BH60" s="84"/>
      <c r="BI60" s="84"/>
      <c r="BJ60" s="84"/>
      <c r="BK60" s="84"/>
    </row>
    <row r="61" spans="1:76" x14ac:dyDescent="0.25">
      <c r="BF61" s="84"/>
      <c r="BG61" s="84"/>
      <c r="BH61" s="84"/>
      <c r="BI61" s="84"/>
      <c r="BJ61" s="84"/>
      <c r="BK61" s="84"/>
    </row>
    <row r="62" spans="1:76" x14ac:dyDescent="0.25">
      <c r="BF62" s="84"/>
      <c r="BG62" s="84"/>
      <c r="BH62" s="84"/>
      <c r="BI62" s="84"/>
      <c r="BJ62" s="84"/>
      <c r="BK62" s="84"/>
    </row>
    <row r="63" spans="1:76" x14ac:dyDescent="0.25">
      <c r="BF63" s="84"/>
      <c r="BG63" s="84"/>
      <c r="BH63" s="84"/>
      <c r="BI63" s="84"/>
      <c r="BJ63" s="84"/>
      <c r="BK63" s="84"/>
    </row>
    <row r="64" spans="1:76" x14ac:dyDescent="0.25">
      <c r="BF64" s="84"/>
      <c r="BG64" s="84"/>
      <c r="BH64" s="84"/>
      <c r="BI64" s="84"/>
      <c r="BJ64" s="84"/>
      <c r="BK64" s="84"/>
    </row>
    <row r="65" spans="58:63" x14ac:dyDescent="0.25">
      <c r="BF65" s="84"/>
      <c r="BG65" s="84"/>
      <c r="BH65" s="84"/>
      <c r="BI65" s="84"/>
      <c r="BJ65" s="84"/>
      <c r="BK65" s="84"/>
    </row>
    <row r="66" spans="58:63" x14ac:dyDescent="0.25">
      <c r="BF66" s="84"/>
      <c r="BG66" s="84"/>
      <c r="BH66" s="84"/>
      <c r="BI66" s="84"/>
      <c r="BJ66" s="84"/>
      <c r="BK66" s="84"/>
    </row>
    <row r="67" spans="58:63" x14ac:dyDescent="0.25">
      <c r="BF67" s="84"/>
      <c r="BG67" s="84"/>
      <c r="BH67" s="84"/>
      <c r="BI67" s="84"/>
      <c r="BJ67" s="84"/>
      <c r="BK67" s="84"/>
    </row>
    <row r="68" spans="58:63" x14ac:dyDescent="0.25">
      <c r="BF68" s="84"/>
      <c r="BG68" s="84"/>
      <c r="BH68" s="84"/>
      <c r="BI68" s="84"/>
      <c r="BJ68" s="84"/>
      <c r="BK68" s="84"/>
    </row>
    <row r="69" spans="58:63" x14ac:dyDescent="0.25">
      <c r="BF69" s="84"/>
      <c r="BG69" s="84"/>
      <c r="BH69" s="84"/>
      <c r="BI69" s="84"/>
      <c r="BJ69" s="84"/>
      <c r="BK69" s="84"/>
    </row>
    <row r="70" spans="58:63" x14ac:dyDescent="0.25">
      <c r="BF70" s="84"/>
      <c r="BG70" s="84"/>
      <c r="BH70" s="84"/>
      <c r="BI70" s="84"/>
      <c r="BJ70" s="84"/>
      <c r="BK70" s="84"/>
    </row>
    <row r="71" spans="58:63" x14ac:dyDescent="0.25">
      <c r="BF71" s="84"/>
      <c r="BG71" s="84"/>
      <c r="BH71" s="84"/>
      <c r="BI71" s="84"/>
      <c r="BJ71" s="84"/>
      <c r="BK71" s="84"/>
    </row>
    <row r="72" spans="58:63" x14ac:dyDescent="0.25">
      <c r="BF72" s="84"/>
      <c r="BG72" s="84"/>
      <c r="BH72" s="84"/>
      <c r="BI72" s="84"/>
      <c r="BJ72" s="84"/>
      <c r="BK72" s="84"/>
    </row>
    <row r="73" spans="58:63" x14ac:dyDescent="0.25">
      <c r="BF73" s="84"/>
      <c r="BG73" s="84"/>
      <c r="BH73" s="84"/>
      <c r="BI73" s="84"/>
      <c r="BJ73" s="84"/>
      <c r="BK73" s="84"/>
    </row>
    <row r="74" spans="58:63" x14ac:dyDescent="0.25">
      <c r="BF74" s="84"/>
      <c r="BG74" s="84"/>
      <c r="BH74" s="84"/>
      <c r="BI74" s="84"/>
      <c r="BJ74" s="84"/>
      <c r="BK74" s="84"/>
    </row>
    <row r="75" spans="58:63" x14ac:dyDescent="0.25">
      <c r="BF75" s="84"/>
      <c r="BG75" s="84"/>
      <c r="BH75" s="84"/>
      <c r="BI75" s="84"/>
      <c r="BJ75" s="84"/>
      <c r="BK75" s="84"/>
    </row>
    <row r="76" spans="58:63" x14ac:dyDescent="0.25">
      <c r="BF76" s="84"/>
      <c r="BG76" s="84"/>
      <c r="BH76" s="84"/>
      <c r="BI76" s="84"/>
      <c r="BJ76" s="84"/>
      <c r="BK76" s="84"/>
    </row>
    <row r="77" spans="58:63" x14ac:dyDescent="0.25">
      <c r="BF77" s="84"/>
      <c r="BG77" s="84"/>
      <c r="BH77" s="84"/>
      <c r="BI77" s="84"/>
      <c r="BJ77" s="84"/>
      <c r="BK77" s="84"/>
    </row>
    <row r="78" spans="58:63" x14ac:dyDescent="0.25">
      <c r="BF78" s="84"/>
      <c r="BG78" s="84"/>
      <c r="BH78" s="84"/>
      <c r="BI78" s="84"/>
      <c r="BJ78" s="84"/>
      <c r="BK78" s="84"/>
    </row>
    <row r="79" spans="58:63" x14ac:dyDescent="0.25">
      <c r="BF79" s="84"/>
      <c r="BG79" s="84"/>
      <c r="BH79" s="84"/>
      <c r="BI79" s="84"/>
      <c r="BJ79" s="84"/>
      <c r="BK79" s="84"/>
    </row>
    <row r="80" spans="58:63" x14ac:dyDescent="0.25">
      <c r="BF80" s="84"/>
      <c r="BG80" s="84"/>
      <c r="BH80" s="84"/>
      <c r="BI80" s="84"/>
      <c r="BJ80" s="84"/>
      <c r="BK80" s="84"/>
    </row>
    <row r="81" spans="58:63" x14ac:dyDescent="0.25">
      <c r="BF81" s="84"/>
      <c r="BG81" s="84"/>
      <c r="BH81" s="84"/>
      <c r="BI81" s="84"/>
      <c r="BJ81" s="84"/>
      <c r="BK81" s="84"/>
    </row>
    <row r="82" spans="58:63" x14ac:dyDescent="0.25">
      <c r="BF82" s="84"/>
      <c r="BG82" s="84"/>
      <c r="BH82" s="84"/>
      <c r="BI82" s="84"/>
      <c r="BJ82" s="84"/>
      <c r="BK82" s="84"/>
    </row>
    <row r="83" spans="58:63" x14ac:dyDescent="0.25">
      <c r="BF83" s="84"/>
      <c r="BG83" s="84"/>
      <c r="BH83" s="84"/>
      <c r="BI83" s="84"/>
      <c r="BJ83" s="84"/>
      <c r="BK83" s="84"/>
    </row>
    <row r="84" spans="58:63" x14ac:dyDescent="0.25">
      <c r="BF84" s="84"/>
      <c r="BG84" s="84"/>
      <c r="BH84" s="84"/>
      <c r="BI84" s="84"/>
      <c r="BJ84" s="84"/>
      <c r="BK84" s="84"/>
    </row>
    <row r="85" spans="58:63" x14ac:dyDescent="0.25">
      <c r="BF85" s="84"/>
      <c r="BG85" s="84"/>
      <c r="BH85" s="84"/>
      <c r="BI85" s="84"/>
      <c r="BJ85" s="84"/>
      <c r="BK85" s="84"/>
    </row>
    <row r="86" spans="58:63" x14ac:dyDescent="0.25">
      <c r="BF86" s="84"/>
      <c r="BG86" s="84"/>
      <c r="BH86" s="84"/>
      <c r="BI86" s="84"/>
      <c r="BJ86" s="84"/>
      <c r="BK86" s="84"/>
    </row>
    <row r="87" spans="58:63" x14ac:dyDescent="0.25">
      <c r="BF87" s="84"/>
      <c r="BG87" s="84"/>
      <c r="BH87" s="84"/>
      <c r="BI87" s="84"/>
      <c r="BJ87" s="84"/>
      <c r="BK87" s="84"/>
    </row>
    <row r="88" spans="58:63" x14ac:dyDescent="0.25">
      <c r="BF88" s="84"/>
      <c r="BG88" s="84"/>
      <c r="BH88" s="84"/>
      <c r="BI88" s="84"/>
      <c r="BJ88" s="84"/>
      <c r="BK88" s="84"/>
    </row>
    <row r="89" spans="58:63" x14ac:dyDescent="0.25">
      <c r="BF89" s="84"/>
      <c r="BG89" s="84"/>
      <c r="BH89" s="84"/>
      <c r="BI89" s="84"/>
      <c r="BJ89" s="84"/>
      <c r="BK89" s="84"/>
    </row>
    <row r="90" spans="58:63" x14ac:dyDescent="0.25">
      <c r="BF90" s="84"/>
      <c r="BG90" s="84"/>
      <c r="BH90" s="84"/>
      <c r="BI90" s="84"/>
      <c r="BJ90" s="84"/>
      <c r="BK90" s="84"/>
    </row>
    <row r="91" spans="58:63" x14ac:dyDescent="0.25">
      <c r="BF91" s="84"/>
      <c r="BG91" s="84"/>
      <c r="BH91" s="84"/>
      <c r="BI91" s="84"/>
      <c r="BJ91" s="84"/>
      <c r="BK91" s="84"/>
    </row>
    <row r="92" spans="58:63" x14ac:dyDescent="0.25">
      <c r="BF92" s="84"/>
      <c r="BG92" s="84"/>
      <c r="BH92" s="84"/>
      <c r="BI92" s="84"/>
      <c r="BJ92" s="84"/>
      <c r="BK92" s="84"/>
    </row>
    <row r="93" spans="58:63" x14ac:dyDescent="0.25">
      <c r="BF93" s="84"/>
      <c r="BG93" s="84"/>
      <c r="BH93" s="84"/>
      <c r="BI93" s="84"/>
      <c r="BJ93" s="84"/>
      <c r="BK93" s="84"/>
    </row>
    <row r="94" spans="58:63" x14ac:dyDescent="0.25">
      <c r="BF94" s="84"/>
      <c r="BG94" s="84"/>
      <c r="BH94" s="84"/>
      <c r="BI94" s="84"/>
      <c r="BJ94" s="84"/>
      <c r="BK94" s="84"/>
    </row>
    <row r="95" spans="58:63" x14ac:dyDescent="0.25">
      <c r="BF95" s="84"/>
      <c r="BG95" s="84"/>
      <c r="BH95" s="84"/>
      <c r="BI95" s="84"/>
      <c r="BJ95" s="84"/>
      <c r="BK95" s="84"/>
    </row>
    <row r="96" spans="58:63" x14ac:dyDescent="0.25">
      <c r="BF96" s="84"/>
      <c r="BG96" s="84"/>
      <c r="BH96" s="84"/>
      <c r="BI96" s="84"/>
      <c r="BJ96" s="84"/>
      <c r="BK96" s="84"/>
    </row>
    <row r="97" spans="58:63" x14ac:dyDescent="0.25">
      <c r="BF97" s="84"/>
      <c r="BG97" s="84"/>
      <c r="BH97" s="84"/>
      <c r="BI97" s="84"/>
      <c r="BJ97" s="84"/>
      <c r="BK97" s="84"/>
    </row>
    <row r="98" spans="58:63" x14ac:dyDescent="0.25">
      <c r="BF98" s="84"/>
      <c r="BG98" s="84"/>
      <c r="BH98" s="84"/>
      <c r="BI98" s="84"/>
      <c r="BJ98" s="84"/>
      <c r="BK98" s="84"/>
    </row>
    <row r="99" spans="58:63" x14ac:dyDescent="0.25">
      <c r="BF99" s="84"/>
      <c r="BG99" s="84"/>
      <c r="BH99" s="84"/>
      <c r="BI99" s="84"/>
      <c r="BJ99" s="84"/>
      <c r="BK99" s="84"/>
    </row>
    <row r="100" spans="58:63" x14ac:dyDescent="0.25">
      <c r="BF100" s="84"/>
      <c r="BG100" s="84"/>
      <c r="BH100" s="84"/>
      <c r="BI100" s="84"/>
      <c r="BJ100" s="84"/>
      <c r="BK100" s="84"/>
    </row>
    <row r="101" spans="58:63" x14ac:dyDescent="0.25">
      <c r="BF101" s="84"/>
      <c r="BG101" s="84"/>
      <c r="BH101" s="84"/>
      <c r="BI101" s="84"/>
      <c r="BJ101" s="84"/>
      <c r="BK101" s="84"/>
    </row>
    <row r="102" spans="58:63" x14ac:dyDescent="0.25">
      <c r="BF102" s="84"/>
      <c r="BG102" s="84"/>
      <c r="BH102" s="84"/>
      <c r="BI102" s="84"/>
      <c r="BJ102" s="84"/>
      <c r="BK102" s="84"/>
    </row>
    <row r="103" spans="58:63" x14ac:dyDescent="0.25">
      <c r="BF103" s="84"/>
      <c r="BG103" s="84"/>
      <c r="BH103" s="84"/>
      <c r="BI103" s="84"/>
      <c r="BJ103" s="84"/>
      <c r="BK103" s="84"/>
    </row>
    <row r="104" spans="58:63" x14ac:dyDescent="0.25">
      <c r="BF104" s="84"/>
      <c r="BG104" s="84"/>
      <c r="BH104" s="84"/>
      <c r="BI104" s="84"/>
      <c r="BJ104" s="84"/>
      <c r="BK104" s="8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
  <sheetViews>
    <sheetView workbookViewId="0">
      <selection activeCell="B15" sqref="B15"/>
    </sheetView>
  </sheetViews>
  <sheetFormatPr defaultRowHeight="15" x14ac:dyDescent="0.25"/>
  <sheetData/>
  <sheetProtection password="8CF0" sheet="1" objects="1" scenarios="1" selectLockedCell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ScrollLock">
                <anchor moveWithCells="1" sizeWithCells="1">
                  <from>
                    <xdr:col>0</xdr:col>
                    <xdr:colOff>590550</xdr:colOff>
                    <xdr:row>1</xdr:row>
                    <xdr:rowOff>38100</xdr:rowOff>
                  </from>
                  <to>
                    <xdr:col>5</xdr:col>
                    <xdr:colOff>428625</xdr:colOff>
                    <xdr:row>4</xdr:row>
                    <xdr:rowOff>142875</xdr:rowOff>
                  </to>
                </anchor>
              </controlPr>
            </control>
          </mc:Choice>
        </mc:AlternateContent>
        <mc:AlternateContent xmlns:mc="http://schemas.openxmlformats.org/markup-compatibility/2006">
          <mc:Choice Requires="x14">
            <control shapeId="21506" r:id="rId5" name="Button 2">
              <controlPr defaultSize="0" print="0" autoFill="0" autoPict="0" macro="[0]!ScrollUnLock">
                <anchor moveWithCells="1" sizeWithCells="1">
                  <from>
                    <xdr:col>0</xdr:col>
                    <xdr:colOff>600075</xdr:colOff>
                    <xdr:row>7</xdr:row>
                    <xdr:rowOff>28575</xdr:rowOff>
                  </from>
                  <to>
                    <xdr:col>5</xdr:col>
                    <xdr:colOff>438150</xdr:colOff>
                    <xdr:row>10</xdr:row>
                    <xdr:rowOff>133350</xdr:rowOff>
                  </to>
                </anchor>
              </controlPr>
            </control>
          </mc:Choice>
        </mc:AlternateContent>
        <mc:AlternateContent xmlns:mc="http://schemas.openxmlformats.org/markup-compatibility/2006">
          <mc:Choice Requires="x14">
            <control shapeId="21507" r:id="rId6" name="Button 3">
              <controlPr defaultSize="0" print="0" autoFill="0" autoPict="0" macro="[0]!ProtectAll">
                <anchor moveWithCells="1" sizeWithCells="1">
                  <from>
                    <xdr:col>6</xdr:col>
                    <xdr:colOff>352425</xdr:colOff>
                    <xdr:row>1</xdr:row>
                    <xdr:rowOff>133350</xdr:rowOff>
                  </from>
                  <to>
                    <xdr:col>11</xdr:col>
                    <xdr:colOff>381000</xdr:colOff>
                    <xdr:row>5</xdr:row>
                    <xdr:rowOff>114300</xdr:rowOff>
                  </to>
                </anchor>
              </controlPr>
            </control>
          </mc:Choice>
        </mc:AlternateContent>
        <mc:AlternateContent xmlns:mc="http://schemas.openxmlformats.org/markup-compatibility/2006">
          <mc:Choice Requires="x14">
            <control shapeId="21508" r:id="rId7" name="Button 4">
              <controlPr defaultSize="0" print="0" autoFill="0" autoPict="0" macro="[0]!UnProtectAll">
                <anchor moveWithCells="1" sizeWithCells="1">
                  <from>
                    <xdr:col>6</xdr:col>
                    <xdr:colOff>485775</xdr:colOff>
                    <xdr:row>6</xdr:row>
                    <xdr:rowOff>171450</xdr:rowOff>
                  </from>
                  <to>
                    <xdr:col>11</xdr:col>
                    <xdr:colOff>438150</xdr:colOff>
                    <xdr:row>11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45</vt:i4>
      </vt:variant>
    </vt:vector>
  </HeadingPairs>
  <TitlesOfParts>
    <vt:vector size="55" baseType="lpstr">
      <vt:lpstr>Instructions</vt:lpstr>
      <vt:lpstr>Assumptions and Constraints</vt:lpstr>
      <vt:lpstr>Bicycle Parking Facility Costs</vt:lpstr>
      <vt:lpstr>Bicycle Parking Invest. Input</vt:lpstr>
      <vt:lpstr>Bicycle Parking Invest. Summary</vt:lpstr>
      <vt:lpstr>Support Strategies</vt:lpstr>
      <vt:lpstr>Overall Summary</vt:lpstr>
      <vt:lpstr>Calculations</vt:lpstr>
      <vt:lpstr>Database</vt:lpstr>
      <vt:lpstr>Macro_Buttons</vt:lpstr>
      <vt:lpstr>AttendedUnits</vt:lpstr>
      <vt:lpstr>BART_Database_Pivot</vt:lpstr>
      <vt:lpstr>BART_List_Post2011</vt:lpstr>
      <vt:lpstr>BART_List_Pre2011</vt:lpstr>
      <vt:lpstr>BARTModeCheckPivot</vt:lpstr>
      <vt:lpstr>BARTModeLoadPivot</vt:lpstr>
      <vt:lpstr>BARTRiderCheckPivot</vt:lpstr>
      <vt:lpstr>BARTRiderLoadPivot</vt:lpstr>
      <vt:lpstr>CageUnits</vt:lpstr>
      <vt:lpstr>DatabaseStationList</vt:lpstr>
      <vt:lpstr>DatabaseTypologyList</vt:lpstr>
      <vt:lpstr>DefaultCheckPivot</vt:lpstr>
      <vt:lpstr>ELockersUnits</vt:lpstr>
      <vt:lpstr>ExcessCapacity</vt:lpstr>
      <vt:lpstr>FTCheckDefault</vt:lpstr>
      <vt:lpstr>FTLoadDefault</vt:lpstr>
      <vt:lpstr>InvestmentsSort</vt:lpstr>
      <vt:lpstr>KeyedLockersUnits</vt:lpstr>
      <vt:lpstr>LastLoadTitle</vt:lpstr>
      <vt:lpstr>LastLoadYear</vt:lpstr>
      <vt:lpstr>LoadDefaultPivot</vt:lpstr>
      <vt:lpstr>NonBART_Station_Pivot</vt:lpstr>
      <vt:lpstr>NonBARTModeCheckPivot</vt:lpstr>
      <vt:lpstr>NonBARTModeLoadPivot</vt:lpstr>
      <vt:lpstr>NonBARTRiderCheckPivot</vt:lpstr>
      <vt:lpstr>NonBARTRiderLoadPivot</vt:lpstr>
      <vt:lpstr>OccupancyCheckDefault</vt:lpstr>
      <vt:lpstr>OccupancyLoadDefault</vt:lpstr>
      <vt:lpstr>OccupancyYearCheckDefault</vt:lpstr>
      <vt:lpstr>OccupancyYearLoadDefault</vt:lpstr>
      <vt:lpstr>PopOccupancyCheckDefault</vt:lpstr>
      <vt:lpstr>PopOccupancyLoadDefault</vt:lpstr>
      <vt:lpstr>'Bicycle Parking Invest. Summary'!Print_Area</vt:lpstr>
      <vt:lpstr>'Overall Summary'!Print_Area</vt:lpstr>
      <vt:lpstr>'Bicycle Parking Invest. Summary'!Print_Titles</vt:lpstr>
      <vt:lpstr>'Overall Summary'!Print_Titles</vt:lpstr>
      <vt:lpstr>RacksInsideUnits</vt:lpstr>
      <vt:lpstr>RacksOutsideUnits</vt:lpstr>
      <vt:lpstr>ScenarioBlackout</vt:lpstr>
      <vt:lpstr>ScenarioYearInput</vt:lpstr>
      <vt:lpstr>SelfServeUnits</vt:lpstr>
      <vt:lpstr>StationType</vt:lpstr>
      <vt:lpstr>SurveyCheckDefault</vt:lpstr>
      <vt:lpstr>SurveyInvestmentsRank</vt:lpstr>
      <vt:lpstr>SurveyLoadDefault</vt:lpstr>
    </vt:vector>
  </TitlesOfParts>
  <Company>Fehr &amp; Peers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mwatten</dc:creator>
  <cp:lastModifiedBy>Seung Lee</cp:lastModifiedBy>
  <cp:lastPrinted>2012-04-18T23:58:53Z</cp:lastPrinted>
  <dcterms:created xsi:type="dcterms:W3CDTF">2011-10-27T17:11:49Z</dcterms:created>
  <dcterms:modified xsi:type="dcterms:W3CDTF">2019-03-13T21:57:07Z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st_hor_buildup" linkTarget="prop_cost_hor_buildup">
    <vt:r8>5.21715849772044E-314</vt:r8>
  </property>
  <property fmtid="{D5CDD505-2E9C-101B-9397-08002B2CF9AE}" pid="3" name="cost_hor_burdened" linkTarget="prop_cost_hor_burdened">
    <vt:r8>0</vt:r8>
  </property>
</Properties>
</file>